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autoCompressPictures="0"/>
  <mc:AlternateContent xmlns:mc="http://schemas.openxmlformats.org/markup-compatibility/2006">
    <mc:Choice Requires="x15">
      <x15ac:absPath xmlns:x15ac="http://schemas.microsoft.com/office/spreadsheetml/2010/11/ac" url="https://d.docs.live.net/b3c885628f88c027/UKOPA/Board/2021 Board Documents/"/>
    </mc:Choice>
  </mc:AlternateContent>
  <xr:revisionPtr revIDLastSave="42" documentId="8_{B6C671D8-5172-AA42-ABAB-A098E0CA5165}" xr6:coauthVersionLast="45" xr6:coauthVersionMax="45" xr10:uidLastSave="{5D873B8D-B8EE-E543-A181-060D81BCC3AD}"/>
  <bookViews>
    <workbookView xWindow="17400" yWindow="460" windowWidth="27180" windowHeight="17360" xr2:uid="{00000000-000D-0000-FFFF-FFFF00000000}"/>
  </bookViews>
  <sheets>
    <sheet name="Forecast " sheetId="1" r:id="rId1"/>
    <sheet name="5-year figures" sheetId="10" r:id="rId2"/>
    <sheet name="Income B'down" sheetId="3" r:id="rId3"/>
    <sheet name="PSWG Exp" sheetId="4" r:id="rId4"/>
    <sheet name="IWG Exp" sheetId="5" r:id="rId5"/>
    <sheet name="EPWG Exp" sheetId="6" r:id="rId6"/>
    <sheet name="FARWG Exp" sheetId="7" r:id="rId7"/>
    <sheet name="PIWG Exp" sheetId="8" r:id="rId8"/>
    <sheet name="Gov Exp" sheetId="9" r:id="rId9"/>
  </sheets>
  <definedNames>
    <definedName name="_xlnm.Print_Area" localSheetId="0">'Forecast '!$B$11:$C$93</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G112" i="1" l="1"/>
  <c r="P13" i="9" l="1"/>
  <c r="O12" i="8"/>
  <c r="O12" i="7"/>
  <c r="O11" i="7"/>
  <c r="O12" i="6"/>
  <c r="O11" i="4"/>
  <c r="L15" i="1"/>
  <c r="N95" i="1" l="1"/>
  <c r="G114" i="1" l="1"/>
  <c r="L63" i="1"/>
  <c r="L24" i="1"/>
  <c r="L21" i="1"/>
  <c r="L16" i="1"/>
  <c r="O11" i="6"/>
  <c r="O11" i="8"/>
  <c r="P12" i="9"/>
  <c r="P11" i="9"/>
  <c r="T26" i="8"/>
  <c r="T25" i="8"/>
  <c r="T27" i="8" s="1"/>
  <c r="O11" i="5" l="1"/>
  <c r="O14" i="4" l="1"/>
  <c r="G108" i="1" l="1"/>
  <c r="O13" i="9" l="1"/>
  <c r="N11" i="8"/>
  <c r="N22" i="7"/>
  <c r="N16" i="7"/>
  <c r="N12" i="7"/>
  <c r="N11" i="7"/>
  <c r="N14" i="6"/>
  <c r="N12" i="6"/>
  <c r="N11" i="6"/>
  <c r="N11" i="5"/>
  <c r="N12" i="4"/>
  <c r="N11" i="4"/>
  <c r="O12" i="9" l="1"/>
  <c r="O11" i="9"/>
  <c r="N16" i="5" l="1"/>
  <c r="M15" i="5"/>
  <c r="N15" i="5"/>
  <c r="N12" i="5"/>
  <c r="P18" i="8" l="1"/>
  <c r="S20" i="6" l="1"/>
  <c r="N13" i="9" l="1"/>
  <c r="M12" i="8"/>
  <c r="M11" i="8"/>
  <c r="M23" i="7"/>
  <c r="M22" i="7"/>
  <c r="M16" i="7"/>
  <c r="M12" i="7"/>
  <c r="M11" i="7"/>
  <c r="M12" i="6"/>
  <c r="M11" i="6"/>
  <c r="M11" i="5"/>
  <c r="M12" i="5"/>
  <c r="M11" i="4"/>
  <c r="S26" i="8" l="1"/>
  <c r="S22" i="5"/>
  <c r="S26" i="7"/>
  <c r="P20" i="7" l="1"/>
  <c r="Q20" i="7"/>
  <c r="N12" i="9" l="1"/>
  <c r="G14" i="1" l="1"/>
  <c r="K21" i="1"/>
  <c r="M21" i="1" s="1"/>
  <c r="L44" i="3"/>
  <c r="G100" i="1" s="1"/>
  <c r="G113" i="1" s="1"/>
  <c r="K44" i="3"/>
  <c r="L33" i="1"/>
  <c r="N11" i="9"/>
  <c r="M19" i="8"/>
  <c r="M14" i="8"/>
  <c r="P16" i="7"/>
  <c r="Q16" i="7" s="1"/>
  <c r="M19" i="7"/>
  <c r="M15" i="7"/>
  <c r="Q18" i="6"/>
  <c r="P18" i="6"/>
  <c r="P17" i="6"/>
  <c r="Q17" i="6" s="1"/>
  <c r="P14" i="6"/>
  <c r="Q14" i="6" s="1"/>
  <c r="M13" i="6"/>
  <c r="M18" i="5"/>
  <c r="M16" i="5"/>
  <c r="M14" i="5"/>
  <c r="P15" i="6"/>
  <c r="Q15" i="6" s="1"/>
  <c r="S21" i="6" s="1"/>
  <c r="M16" i="6"/>
  <c r="P16" i="6" s="1"/>
  <c r="Q16" i="6" s="1"/>
  <c r="L17" i="1"/>
  <c r="L55" i="1" l="1"/>
  <c r="H7" i="10" l="1"/>
  <c r="H8" i="10"/>
  <c r="H9" i="10"/>
  <c r="H10" i="10"/>
  <c r="F8" i="10"/>
  <c r="F9" i="10"/>
  <c r="F10" i="10"/>
  <c r="F11" i="10"/>
  <c r="F14" i="10"/>
  <c r="D18" i="10" l="1"/>
  <c r="F7" i="10"/>
  <c r="I32" i="1" l="1"/>
  <c r="G32" i="1"/>
  <c r="K32" i="1" s="1"/>
  <c r="I31" i="1"/>
  <c r="G31" i="1"/>
  <c r="K31" i="1" s="1"/>
  <c r="G41" i="1"/>
  <c r="I53" i="1"/>
  <c r="G53" i="1"/>
  <c r="I52" i="1"/>
  <c r="G52" i="1"/>
  <c r="K52" i="1" s="1"/>
  <c r="I51" i="1"/>
  <c r="K51" i="1" s="1"/>
  <c r="G51" i="1"/>
  <c r="I83" i="1"/>
  <c r="G83" i="1"/>
  <c r="K83" i="1" s="1"/>
  <c r="I81" i="1"/>
  <c r="G81" i="1"/>
  <c r="I68" i="1"/>
  <c r="G68" i="1"/>
  <c r="I65" i="1"/>
  <c r="G65" i="1"/>
  <c r="K65" i="1" s="1"/>
  <c r="I64" i="1"/>
  <c r="G64" i="1"/>
  <c r="G63" i="1"/>
  <c r="K63" i="1" s="1"/>
  <c r="K15" i="1"/>
  <c r="K68" i="1" l="1"/>
  <c r="K64" i="1"/>
  <c r="K81" i="1"/>
  <c r="K53" i="1"/>
  <c r="G78" i="1"/>
  <c r="K18" i="1" l="1"/>
  <c r="G99" i="1" l="1"/>
  <c r="G105" i="1" s="1"/>
  <c r="C42" i="1" l="1"/>
  <c r="G43" i="1"/>
  <c r="K43" i="1" s="1"/>
  <c r="G42" i="1"/>
  <c r="P16" i="5"/>
  <c r="Q16" i="5" l="1"/>
  <c r="L42" i="1"/>
  <c r="I78" i="1"/>
  <c r="K78" i="1" s="1"/>
  <c r="I77" i="1"/>
  <c r="K77" i="1" s="1"/>
  <c r="P11" i="5" l="1"/>
  <c r="Q23" i="7"/>
  <c r="Q22" i="7"/>
  <c r="Q21" i="7"/>
  <c r="P11" i="7"/>
  <c r="Q11" i="7" s="1"/>
  <c r="G10" i="7"/>
  <c r="S27" i="7" l="1"/>
  <c r="G10" i="8"/>
  <c r="G70" i="1"/>
  <c r="G69" i="1"/>
  <c r="G10" i="6"/>
  <c r="G10" i="4"/>
  <c r="G34" i="1"/>
  <c r="G33" i="1"/>
  <c r="G30" i="1"/>
  <c r="O14" i="1" l="1"/>
  <c r="G23" i="1"/>
  <c r="L86" i="1"/>
  <c r="L85" i="1"/>
  <c r="L84" i="1"/>
  <c r="L54" i="1"/>
  <c r="G86" i="1"/>
  <c r="G85" i="1"/>
  <c r="G84" i="1"/>
  <c r="G82" i="1"/>
  <c r="G80" i="1"/>
  <c r="G79" i="1"/>
  <c r="B79" i="1"/>
  <c r="B80" i="1" s="1"/>
  <c r="B74" i="1"/>
  <c r="B75" i="1" s="1"/>
  <c r="B76" i="1" s="1"/>
  <c r="G67" i="1"/>
  <c r="G66" i="1"/>
  <c r="F10" i="7"/>
  <c r="S28" i="7" s="1"/>
  <c r="B58" i="1"/>
  <c r="B59" i="1" s="1"/>
  <c r="B60" i="1" s="1"/>
  <c r="B61" i="1" s="1"/>
  <c r="G55" i="1"/>
  <c r="K55" i="1" s="1"/>
  <c r="M55" i="1" s="1"/>
  <c r="G54" i="1"/>
  <c r="B29" i="1"/>
  <c r="B11" i="4"/>
  <c r="G45" i="1"/>
  <c r="K45" i="1" s="1"/>
  <c r="G44" i="1"/>
  <c r="K44" i="1" s="1"/>
  <c r="K42" i="1"/>
  <c r="B48" i="1"/>
  <c r="B49" i="1" s="1"/>
  <c r="K86" i="1" l="1"/>
  <c r="K47" i="3"/>
  <c r="G62" i="1"/>
  <c r="M86" i="1"/>
  <c r="P23" i="7"/>
  <c r="L70" i="1" s="1"/>
  <c r="P22" i="7"/>
  <c r="L69" i="1" s="1"/>
  <c r="P21" i="7"/>
  <c r="L68" i="1" s="1"/>
  <c r="K33" i="1"/>
  <c r="M33" i="1" s="1"/>
  <c r="P16" i="4"/>
  <c r="Q16" i="4" l="1"/>
  <c r="S19" i="4" s="1"/>
  <c r="L106" i="1" s="1"/>
  <c r="L34" i="1"/>
  <c r="M63" i="1"/>
  <c r="P19" i="5"/>
  <c r="P18" i="5"/>
  <c r="Q18" i="5" s="1"/>
  <c r="P17" i="5"/>
  <c r="M42" i="1" l="1"/>
  <c r="L43" i="1"/>
  <c r="L45" i="1"/>
  <c r="M45" i="1" s="1"/>
  <c r="Q19" i="5"/>
  <c r="L44" i="1"/>
  <c r="M44" i="1" s="1"/>
  <c r="M43" i="1"/>
  <c r="Q17" i="5"/>
  <c r="Q18" i="7"/>
  <c r="P18" i="7"/>
  <c r="L65" i="1" s="1"/>
  <c r="P15" i="7" l="1"/>
  <c r="L62" i="1" s="1"/>
  <c r="P12" i="7"/>
  <c r="L59" i="1" s="1"/>
  <c r="P14" i="4"/>
  <c r="P11" i="4"/>
  <c r="J44" i="3"/>
  <c r="Q14" i="9"/>
  <c r="L92" i="1" s="1"/>
  <c r="Q13" i="9"/>
  <c r="Q12" i="9"/>
  <c r="L90" i="1" s="1"/>
  <c r="Q11" i="9"/>
  <c r="L89" i="1" s="1"/>
  <c r="G92" i="1"/>
  <c r="G13" i="9"/>
  <c r="G91" i="1" s="1"/>
  <c r="K91" i="1" s="1"/>
  <c r="G90" i="1"/>
  <c r="K90" i="1" s="1"/>
  <c r="G11" i="9"/>
  <c r="G89" i="1"/>
  <c r="P20" i="8"/>
  <c r="K85" i="1"/>
  <c r="P19" i="8"/>
  <c r="L81" i="1"/>
  <c r="P15" i="8"/>
  <c r="P14" i="8"/>
  <c r="P13" i="8"/>
  <c r="L76" i="1" s="1"/>
  <c r="P12" i="8"/>
  <c r="L75" i="1" s="1"/>
  <c r="P11" i="8"/>
  <c r="K84" i="1"/>
  <c r="K82" i="1"/>
  <c r="P17" i="8"/>
  <c r="Q17" i="8" s="1"/>
  <c r="K80" i="1"/>
  <c r="K79" i="1"/>
  <c r="F13" i="8"/>
  <c r="G76" i="1" s="1"/>
  <c r="K76" i="1" s="1"/>
  <c r="G75" i="1"/>
  <c r="K75" i="1" s="1"/>
  <c r="F11" i="8"/>
  <c r="P16" i="8"/>
  <c r="Q16" i="8" s="1"/>
  <c r="O73" i="1"/>
  <c r="O57" i="1"/>
  <c r="O47" i="1"/>
  <c r="O36" i="1"/>
  <c r="O28" i="1"/>
  <c r="O23" i="1"/>
  <c r="L67" i="1"/>
  <c r="P17" i="7"/>
  <c r="L64" i="1" s="1"/>
  <c r="P14" i="7"/>
  <c r="L61" i="1" s="1"/>
  <c r="P13" i="7"/>
  <c r="L60" i="1" s="1"/>
  <c r="K69" i="1"/>
  <c r="K67" i="1"/>
  <c r="K66" i="1"/>
  <c r="K62" i="1"/>
  <c r="G61" i="1"/>
  <c r="G60" i="1"/>
  <c r="K60" i="1" s="1"/>
  <c r="G58" i="1"/>
  <c r="L53" i="1"/>
  <c r="L52" i="1"/>
  <c r="L51" i="1"/>
  <c r="P13" i="6"/>
  <c r="P12" i="6"/>
  <c r="P11" i="6"/>
  <c r="M51" i="1"/>
  <c r="G50" i="1"/>
  <c r="K50" i="1" s="1"/>
  <c r="G49" i="1"/>
  <c r="K49" i="1" s="1"/>
  <c r="F11" i="6"/>
  <c r="G48" i="1" s="1"/>
  <c r="F11" i="5"/>
  <c r="F12" i="5"/>
  <c r="G15" i="5"/>
  <c r="I41" i="1" s="1"/>
  <c r="G39" i="1"/>
  <c r="K39" i="1" s="1"/>
  <c r="G40" i="1"/>
  <c r="K40" i="1" s="1"/>
  <c r="P15" i="5"/>
  <c r="L41" i="1" s="1"/>
  <c r="P14" i="5"/>
  <c r="P13" i="5"/>
  <c r="L39" i="1" s="1"/>
  <c r="P12" i="5"/>
  <c r="L38" i="1" s="1"/>
  <c r="L37" i="1"/>
  <c r="F11" i="4"/>
  <c r="F10" i="4" s="1"/>
  <c r="K34" i="1"/>
  <c r="M34" i="1" s="1"/>
  <c r="P12" i="4"/>
  <c r="P15" i="4"/>
  <c r="Q15" i="4" s="1"/>
  <c r="P13" i="4"/>
  <c r="R14" i="9"/>
  <c r="B11" i="9"/>
  <c r="B12" i="9" s="1"/>
  <c r="B13" i="9" s="1"/>
  <c r="R12" i="9"/>
  <c r="R11" i="9"/>
  <c r="H10" i="9"/>
  <c r="B16" i="8"/>
  <c r="B17" i="8" s="1"/>
  <c r="B11" i="8"/>
  <c r="B12" i="8" s="1"/>
  <c r="B13" i="8" s="1"/>
  <c r="Q14" i="7"/>
  <c r="Q13" i="7"/>
  <c r="B11" i="7"/>
  <c r="B12" i="7" s="1"/>
  <c r="B13" i="7" s="1"/>
  <c r="B14" i="7" s="1"/>
  <c r="B11" i="6"/>
  <c r="B12" i="6" s="1"/>
  <c r="B15" i="5"/>
  <c r="B11" i="5"/>
  <c r="B12" i="5" s="1"/>
  <c r="B13" i="5" s="1"/>
  <c r="I44" i="3"/>
  <c r="I47" i="3" s="1"/>
  <c r="K20" i="1"/>
  <c r="M20" i="1" s="1"/>
  <c r="B89" i="1"/>
  <c r="B90" i="1" s="1"/>
  <c r="B91" i="1" s="1"/>
  <c r="B92" i="1" s="1"/>
  <c r="B24" i="1"/>
  <c r="B15" i="1"/>
  <c r="B16" i="1" s="1"/>
  <c r="B17" i="1" s="1"/>
  <c r="B18" i="1" s="1"/>
  <c r="B19" i="1" s="1"/>
  <c r="K24" i="1"/>
  <c r="M24" i="1" s="1"/>
  <c r="K16" i="1"/>
  <c r="M16" i="1" s="1"/>
  <c r="K17" i="1"/>
  <c r="M17" i="1" s="1"/>
  <c r="M18" i="1"/>
  <c r="K19" i="1"/>
  <c r="M19" i="1" s="1"/>
  <c r="H44" i="3"/>
  <c r="H47" i="3" s="1"/>
  <c r="G44" i="3"/>
  <c r="G47" i="3" s="1"/>
  <c r="F44" i="3"/>
  <c r="E44" i="3"/>
  <c r="C44" i="3"/>
  <c r="K54" i="1"/>
  <c r="M54" i="1" s="1"/>
  <c r="Q14" i="8"/>
  <c r="K70" i="1"/>
  <c r="K30" i="1"/>
  <c r="L40" i="1" l="1"/>
  <c r="P10" i="5"/>
  <c r="L91" i="1"/>
  <c r="M91" i="1" s="1"/>
  <c r="Q10" i="9"/>
  <c r="P10" i="6"/>
  <c r="L29" i="1"/>
  <c r="P10" i="4"/>
  <c r="K61" i="1"/>
  <c r="M61" i="1" s="1"/>
  <c r="D105" i="1"/>
  <c r="Q13" i="4"/>
  <c r="S18" i="4" s="1"/>
  <c r="L105" i="1" s="1"/>
  <c r="L31" i="1"/>
  <c r="M31" i="1" s="1"/>
  <c r="K92" i="1"/>
  <c r="Q14" i="4"/>
  <c r="L32" i="1"/>
  <c r="M32" i="1" s="1"/>
  <c r="L50" i="1"/>
  <c r="Q13" i="6"/>
  <c r="Q13" i="5"/>
  <c r="S20" i="4"/>
  <c r="K41" i="1"/>
  <c r="I95" i="1"/>
  <c r="D106" i="1" s="1"/>
  <c r="G10" i="9"/>
  <c r="L49" i="1"/>
  <c r="M49" i="1" s="1"/>
  <c r="Q12" i="6"/>
  <c r="L48" i="1"/>
  <c r="Q11" i="6"/>
  <c r="L74" i="1"/>
  <c r="P10" i="8"/>
  <c r="L78" i="1"/>
  <c r="Q15" i="8"/>
  <c r="Q14" i="5"/>
  <c r="K89" i="1"/>
  <c r="G88" i="1"/>
  <c r="R13" i="9"/>
  <c r="R10" i="9" s="1"/>
  <c r="L83" i="1"/>
  <c r="M83" i="1" s="1"/>
  <c r="Q20" i="8"/>
  <c r="S25" i="8" s="1"/>
  <c r="G29" i="1"/>
  <c r="G28" i="1" s="1"/>
  <c r="Q18" i="8"/>
  <c r="F10" i="5"/>
  <c r="S24" i="5" s="1"/>
  <c r="M67" i="1"/>
  <c r="M81" i="1"/>
  <c r="F10" i="6"/>
  <c r="S22" i="6" s="1"/>
  <c r="L79" i="1"/>
  <c r="M79" i="1" s="1"/>
  <c r="G10" i="5"/>
  <c r="M41" i="1"/>
  <c r="G74" i="1"/>
  <c r="G73" i="1" s="1"/>
  <c r="F10" i="8"/>
  <c r="S27" i="8" s="1"/>
  <c r="Q19" i="8"/>
  <c r="L82" i="1"/>
  <c r="M82" i="1" s="1"/>
  <c r="M78" i="1"/>
  <c r="L77" i="1"/>
  <c r="M77" i="1" s="1"/>
  <c r="L30" i="1"/>
  <c r="M30" i="1" s="1"/>
  <c r="Q12" i="4"/>
  <c r="L80" i="1"/>
  <c r="M80" i="1" s="1"/>
  <c r="K58" i="1"/>
  <c r="M52" i="1"/>
  <c r="M53" i="1"/>
  <c r="Q13" i="8"/>
  <c r="Q12" i="8"/>
  <c r="Q11" i="4"/>
  <c r="M90" i="1"/>
  <c r="M50" i="1"/>
  <c r="M39" i="1"/>
  <c r="Q12" i="5"/>
  <c r="O93" i="1"/>
  <c r="Q11" i="5"/>
  <c r="M75" i="1"/>
  <c r="M40" i="1"/>
  <c r="Q11" i="8"/>
  <c r="J47" i="3"/>
  <c r="G37" i="1"/>
  <c r="M85" i="1"/>
  <c r="G38" i="1"/>
  <c r="K38" i="1" s="1"/>
  <c r="M38" i="1" s="1"/>
  <c r="M15" i="1"/>
  <c r="Q15" i="5"/>
  <c r="M84" i="1"/>
  <c r="M89" i="1"/>
  <c r="P19" i="7"/>
  <c r="Q19" i="7"/>
  <c r="Q17" i="7"/>
  <c r="M65" i="1"/>
  <c r="M62" i="1"/>
  <c r="Q15" i="7"/>
  <c r="M60" i="1"/>
  <c r="M69" i="1"/>
  <c r="M70" i="1"/>
  <c r="M64" i="1"/>
  <c r="L58" i="1"/>
  <c r="Q12" i="7"/>
  <c r="M76" i="1"/>
  <c r="M92" i="1"/>
  <c r="G59" i="1"/>
  <c r="G57" i="1" s="1"/>
  <c r="Q10" i="4" l="1"/>
  <c r="Q10" i="6"/>
  <c r="L104" i="1"/>
  <c r="D104" i="1"/>
  <c r="D107" i="1" s="1"/>
  <c r="Q10" i="7"/>
  <c r="K29" i="1"/>
  <c r="M29" i="1" s="1"/>
  <c r="Q10" i="5"/>
  <c r="G36" i="1"/>
  <c r="G95" i="1" s="1"/>
  <c r="K48" i="1"/>
  <c r="G47" i="1"/>
  <c r="M58" i="1"/>
  <c r="K74" i="1"/>
  <c r="M74" i="1" s="1"/>
  <c r="M68" i="1"/>
  <c r="L66" i="1"/>
  <c r="M66" i="1" s="1"/>
  <c r="K37" i="1"/>
  <c r="M37" i="1" s="1"/>
  <c r="Q10" i="8"/>
  <c r="K59" i="1"/>
  <c r="M59" i="1" s="1"/>
  <c r="M48" i="1" l="1"/>
  <c r="M95" i="1" s="1"/>
  <c r="K95" i="1"/>
  <c r="G104" i="1" s="1"/>
  <c r="G97" i="1"/>
  <c r="L95" i="1"/>
</calcChain>
</file>

<file path=xl/sharedStrings.xml><?xml version="1.0" encoding="utf-8"?>
<sst xmlns="http://schemas.openxmlformats.org/spreadsheetml/2006/main" count="762" uniqueCount="330">
  <si>
    <t>UNITED KINGDOM ONSHORE PIPELINES OPERATORS ASSOCIATION</t>
  </si>
  <si>
    <t>Activity Description</t>
  </si>
  <si>
    <t>Sponser</t>
  </si>
  <si>
    <t>Service</t>
  </si>
  <si>
    <t>Provider</t>
  </si>
  <si>
    <t>Approval</t>
  </si>
  <si>
    <t xml:space="preserve">      (£k)</t>
  </si>
  <si>
    <t>(£k)</t>
  </si>
  <si>
    <t xml:space="preserve">   Aug</t>
  </si>
  <si>
    <t xml:space="preserve">  Dec</t>
  </si>
  <si>
    <t>Total Planned</t>
  </si>
  <si>
    <t>Actual to Date</t>
  </si>
  <si>
    <t>Totals</t>
  </si>
  <si>
    <t>PIE</t>
  </si>
  <si>
    <t>Visual</t>
  </si>
  <si>
    <t>IWG</t>
  </si>
  <si>
    <t>Membership Fees</t>
  </si>
  <si>
    <t>B H Accountancy</t>
  </si>
  <si>
    <t>Shell</t>
  </si>
  <si>
    <t>INEOS</t>
  </si>
  <si>
    <t>Esso</t>
  </si>
  <si>
    <t>Sabic</t>
  </si>
  <si>
    <t>Company</t>
  </si>
  <si>
    <t>BPA</t>
  </si>
  <si>
    <t>Total</t>
  </si>
  <si>
    <t>NGN</t>
  </si>
  <si>
    <t>Wales and the West</t>
  </si>
  <si>
    <t>Fisher German</t>
  </si>
  <si>
    <t>Variance on Expenditure to date</t>
  </si>
  <si>
    <t>Essar</t>
  </si>
  <si>
    <t>Valero</t>
  </si>
  <si>
    <t>Swissgas</t>
  </si>
  <si>
    <r>
      <t xml:space="preserve">                          </t>
    </r>
    <r>
      <rPr>
        <b/>
        <sz val="10"/>
        <color indexed="8"/>
        <rFont val="Arial"/>
        <family val="2"/>
      </rPr>
      <t>(£k)</t>
    </r>
    <r>
      <rPr>
        <sz val="10"/>
        <color indexed="8"/>
        <rFont val="Arial"/>
        <family val="2"/>
      </rPr>
      <t xml:space="preserve"> </t>
    </r>
  </si>
  <si>
    <t>UKOPA Income Summary</t>
  </si>
  <si>
    <t>Perenco</t>
  </si>
  <si>
    <t>Board</t>
  </si>
  <si>
    <t>Secretariat</t>
  </si>
  <si>
    <t>DNV/GL</t>
  </si>
  <si>
    <t xml:space="preserve"> </t>
  </si>
  <si>
    <t>PIWG</t>
  </si>
  <si>
    <t>FARWG</t>
  </si>
  <si>
    <t>Date</t>
  </si>
  <si>
    <t>UKOPA</t>
  </si>
  <si>
    <r>
      <t xml:space="preserve">BG Group </t>
    </r>
    <r>
      <rPr>
        <sz val="10"/>
        <color indexed="17"/>
        <rFont val="Arial"/>
        <family val="2"/>
      </rPr>
      <t>(Resigned end 2014)</t>
    </r>
  </si>
  <si>
    <t>WG PSN</t>
  </si>
  <si>
    <t>Mutual Energy</t>
  </si>
  <si>
    <t>Comment</t>
  </si>
  <si>
    <t>EPWG</t>
  </si>
  <si>
    <t>PSWG</t>
  </si>
  <si>
    <r>
      <t xml:space="preserve">EON </t>
    </r>
    <r>
      <rPr>
        <sz val="10"/>
        <color indexed="17"/>
        <rFont val="Arial"/>
        <family val="2"/>
      </rPr>
      <t>(Uniper spit out - 26 below)</t>
    </r>
  </si>
  <si>
    <r>
      <t xml:space="preserve">Uniper </t>
    </r>
    <r>
      <rPr>
        <sz val="10"/>
        <color indexed="17"/>
        <rFont val="Arial"/>
        <family val="2"/>
      </rPr>
      <t>(previsouly included in EON</t>
    </r>
    <r>
      <rPr>
        <sz val="10"/>
        <color indexed="8"/>
        <rFont val="Arial"/>
        <family val="2"/>
      </rPr>
      <t>)</t>
    </r>
  </si>
  <si>
    <t>ENI</t>
  </si>
  <si>
    <t>CLH-PS</t>
  </si>
  <si>
    <t>Review of GPGs (1day per guide)</t>
  </si>
  <si>
    <t xml:space="preserve">Management of GPGs </t>
  </si>
  <si>
    <t xml:space="preserve"> Technical Seminar costs</t>
  </si>
  <si>
    <t>UKOPA Brochure / newsletter (now internal)</t>
  </si>
  <si>
    <t>Member meeting costs</t>
  </si>
  <si>
    <t>Website update and support</t>
  </si>
  <si>
    <t>Secretariat Services</t>
  </si>
  <si>
    <t>check / audit of accounts</t>
  </si>
  <si>
    <t>Preparation of Infringement Report</t>
  </si>
  <si>
    <t>Infringement Database Management</t>
  </si>
  <si>
    <t>Infringement WG</t>
  </si>
  <si>
    <t>Admin of PERO course</t>
  </si>
  <si>
    <t>Technical Support to FARWG (PIE)</t>
  </si>
  <si>
    <t>Technical Support to FARWG (DNV-GL)</t>
  </si>
  <si>
    <t>University MSc Prize</t>
  </si>
  <si>
    <t>Technical Support to PIWG (PIE)</t>
  </si>
  <si>
    <t>Attendence at BSI WGs and Standards Groups</t>
  </si>
  <si>
    <t>Sleeve assessment phase 1B. Survey of ILI data and analysis</t>
  </si>
  <si>
    <t>Development of standard for epoxy shell repairs</t>
  </si>
  <si>
    <t>Contingency for meeting rooms</t>
  </si>
  <si>
    <t>Governance Group</t>
  </si>
  <si>
    <t>Pipeline Integrity WG</t>
  </si>
  <si>
    <t>Fault and Risk WG</t>
  </si>
  <si>
    <t>Process Safety WG</t>
  </si>
  <si>
    <t>Administration</t>
  </si>
  <si>
    <t>GG</t>
  </si>
  <si>
    <t>PIE + ??</t>
  </si>
  <si>
    <t>RM'C</t>
  </si>
  <si>
    <t>Review Fault data report requirements</t>
  </si>
  <si>
    <t>UKOPA Running Costs</t>
  </si>
  <si>
    <t>Key</t>
  </si>
  <si>
    <t xml:space="preserve"> Emergency Planning WG</t>
  </si>
  <si>
    <t>Weld Quality Project</t>
  </si>
  <si>
    <t>Various</t>
  </si>
  <si>
    <t>A Cosham</t>
  </si>
  <si>
    <t>Petroineos</t>
  </si>
  <si>
    <t xml:space="preserve">  </t>
  </si>
  <si>
    <t>PLAN</t>
  </si>
  <si>
    <t>Expenses</t>
  </si>
  <si>
    <t>tbc</t>
  </si>
  <si>
    <t>updating of PSAT software</t>
  </si>
  <si>
    <t>Expenses (approximate)</t>
  </si>
  <si>
    <t>Expenses (approxiimate)</t>
  </si>
  <si>
    <t>Technical Secretariat Support to FARWG (PIE)</t>
  </si>
  <si>
    <t>Technical Secretariat Support to PIWG (PIE)</t>
  </si>
  <si>
    <t>GPG DC Interference and mitigation</t>
  </si>
  <si>
    <t>Approved in 2017</t>
  </si>
  <si>
    <t>BD-18-002</t>
  </si>
  <si>
    <t>Technical and Secretarit Support to IWG</t>
  </si>
  <si>
    <t>Technical Secretarial support to Governance Group</t>
  </si>
  <si>
    <t>Centrica</t>
  </si>
  <si>
    <t>RRP</t>
  </si>
  <si>
    <t>National Grid</t>
  </si>
  <si>
    <t>Cadent</t>
  </si>
  <si>
    <t>Penspen</t>
  </si>
  <si>
    <t>SGN</t>
  </si>
  <si>
    <t>GNI</t>
  </si>
  <si>
    <t>12 days (3 days per meeting x3) plus 3 days</t>
  </si>
  <si>
    <t>12 days (3 days per meeting x 3) plus 3 days</t>
  </si>
  <si>
    <t>Support for external presentations</t>
  </si>
  <si>
    <t>XXXXXXXXXX</t>
  </si>
  <si>
    <t>To be invoiced at the end of the year</t>
  </si>
  <si>
    <t>Contingency - to be used for expnses</t>
  </si>
  <si>
    <t>There will be an overspend on the expenses, which can be accounted for from the meeting room contingency line 7.14</t>
  </si>
  <si>
    <t>Igas (non Member now)</t>
  </si>
  <si>
    <t>BP (non Member now)</t>
  </si>
  <si>
    <t>Ineso FPS (instead of BP)</t>
  </si>
  <si>
    <t>Contractor working near HP Pipeline Docs</t>
  </si>
  <si>
    <t>Continued Development of liquid hydrocarbon pipeline database</t>
  </si>
  <si>
    <t>Period of</t>
  </si>
  <si>
    <t xml:space="preserve"> Amount to</t>
  </si>
  <si>
    <t>Approved</t>
  </si>
  <si>
    <t>% complete</t>
  </si>
  <si>
    <t>Expenditure</t>
  </si>
  <si>
    <t>Approval or Expenditure Approval</t>
  </si>
  <si>
    <t>be Approved in 2019</t>
  </si>
  <si>
    <t>previously Amount</t>
  </si>
  <si>
    <t xml:space="preserve">         </t>
  </si>
  <si>
    <t>May</t>
  </si>
  <si>
    <t xml:space="preserve">  Aug</t>
  </si>
  <si>
    <t xml:space="preserve"> Dec</t>
  </si>
  <si>
    <t>Remaining</t>
  </si>
  <si>
    <t>Technical support to PSWG</t>
  </si>
  <si>
    <t>Preparation of PSAT Report</t>
  </si>
  <si>
    <t>8 days is manual</t>
  </si>
  <si>
    <t>Technical Support to IWG</t>
  </si>
  <si>
    <t xml:space="preserve">5 days </t>
  </si>
  <si>
    <t>2019-21</t>
  </si>
  <si>
    <t>£1036.64 per year for 3 years</t>
  </si>
  <si>
    <t>Contractor HSE document - working near HP Pipelines</t>
  </si>
  <si>
    <t>Technical Support to EPWG</t>
  </si>
  <si>
    <t>12 days (3 per meeting) + 3 days plus 10 days for Andy Fuller)</t>
  </si>
  <si>
    <t>Guidance notes for Senior Management on PERO requirements</t>
  </si>
  <si>
    <t>10 days</t>
  </si>
  <si>
    <t>Attendance at Emerceny Planning Conference</t>
  </si>
  <si>
    <t xml:space="preserve">3 meeting (x 3 days each) plus 7 extra days.  </t>
  </si>
  <si>
    <t>Annual</t>
  </si>
  <si>
    <t>Data cleanse, FR1 workshop, follow up and new FR1 reporting format produced</t>
  </si>
  <si>
    <t>approved in 2018</t>
  </si>
  <si>
    <t>GPG Environmental analysis to demonstrate ALARP</t>
  </si>
  <si>
    <t>% Completion</t>
  </si>
  <si>
    <t>Expenditure (to date)</t>
  </si>
  <si>
    <t>3meetings x 3 days plus 6 days</t>
  </si>
  <si>
    <t>BD-17-014</t>
  </si>
  <si>
    <t>approved in 2016</t>
  </si>
  <si>
    <t>Macaw</t>
  </si>
  <si>
    <t>P Lydon</t>
  </si>
  <si>
    <t>budgetted in 2018</t>
  </si>
  <si>
    <t>Budget for work that might come out of AC interference stakeholder workshop (as not sure where else it might be budgetted for unless Board want a Board project?)</t>
  </si>
  <si>
    <t>PIE / ???</t>
  </si>
  <si>
    <t>20 days budget</t>
  </si>
  <si>
    <t>Other things for consideration</t>
  </si>
  <si>
    <t xml:space="preserve">GPG for calculating vibration and piling </t>
  </si>
  <si>
    <t>Expenditure approval</t>
  </si>
  <si>
    <t>Technical support to Governance Group</t>
  </si>
  <si>
    <t>Spend to date</t>
  </si>
  <si>
    <t>Membership Fees Expected</t>
  </si>
  <si>
    <t>Membership Fees to date</t>
  </si>
  <si>
    <t>Actual to date</t>
  </si>
  <si>
    <t>Total to date</t>
  </si>
  <si>
    <t>Previously spent</t>
  </si>
  <si>
    <t>spent to date</t>
  </si>
  <si>
    <t xml:space="preserve">Drax (previously Scottish Power) </t>
  </si>
  <si>
    <t>Pipeline decomissioning and abandonment</t>
  </si>
  <si>
    <t>UKOPA FARWG Budget for Workplan 2020</t>
  </si>
  <si>
    <t>Updating of UKOPA working safetly DVD</t>
  </si>
  <si>
    <t>be Approved in 2020</t>
  </si>
  <si>
    <t xml:space="preserve">                  UKOPA IWG Budget for Workplan 2020</t>
  </si>
  <si>
    <t>Spent in 2019</t>
  </si>
  <si>
    <t>Investigation of potential for inclusion of 'infringement' module as part of agricultural college courses</t>
  </si>
  <si>
    <t>Production of course module if 4.12 has support</t>
  </si>
  <si>
    <t>PIE / members</t>
  </si>
  <si>
    <t>PIE rate £650 per day</t>
  </si>
  <si>
    <t>initial budget to be confirmed by quotes</t>
  </si>
  <si>
    <t>UKOPA PSWG Budget for Workplan 2020</t>
  </si>
  <si>
    <t>This is now going to be carried out via a spreadsheet method for the near furture so reduced from £20K to 8 days for preparing macros to do this</t>
  </si>
  <si>
    <t>GPG development for Pipeline Process Safety</t>
  </si>
  <si>
    <t>Quoations received in 2019 for production of such a document around the £12-14K mark.  Budget incresed by £8K to cover this</t>
  </si>
  <si>
    <t>Spent in 2019 if project ongoing</t>
  </si>
  <si>
    <t>Barry Dalus support for 6 days</t>
  </si>
  <si>
    <t>Proof reading, editing and support from others for final version of document - 10 days budgetted</t>
  </si>
  <si>
    <t>Nikki Barker support for up to 6 days - prep of management information, uploading to website, etc</t>
  </si>
  <si>
    <t>Prepared 11/10/19</t>
  </si>
  <si>
    <t>UKOPA Governance Group Budget for Workplan 2020</t>
  </si>
  <si>
    <t>UKOPA Board Meeting - December 2020</t>
  </si>
  <si>
    <t>spent in 2019</t>
  </si>
  <si>
    <t>UKOPA EPWG Budget for Workplan 2020</t>
  </si>
  <si>
    <t>1/2 day per month plus 4 days</t>
  </si>
  <si>
    <t>Development and management of Hazard Awareness Course</t>
  </si>
  <si>
    <t>The scope of this project is being developed and may well change , but would like the budget to be carried over</t>
  </si>
  <si>
    <t>GPG identifying requirements for Emergency Planning (legislation vs good practice)</t>
  </si>
  <si>
    <t>Good pracice workshop (as per 2013)</t>
  </si>
  <si>
    <t>10 days which was not all used for the original course development.  Rest to be used for updating and running in 2020</t>
  </si>
  <si>
    <t>1 day plus travel and conference ticket cost, now taking place as a woring group meeting at the college</t>
  </si>
  <si>
    <t xml:space="preserve">                  UKOPA PIWG Budget for Workplan 2020</t>
  </si>
  <si>
    <t>Updated 11/10/2020</t>
  </si>
  <si>
    <t>Spend in 2019 (or previous)</t>
  </si>
  <si>
    <t>3 meeting (x 3 days each) plus 15 extra days incl completion of final GPGs</t>
  </si>
  <si>
    <t>Budget for 10 days for potential for weld quality presentations in both Europe and Canada / US</t>
  </si>
  <si>
    <t>Support to TD1 review</t>
  </si>
  <si>
    <t>Support to TD2 review</t>
  </si>
  <si>
    <t>Prepared 11/10/2019</t>
  </si>
  <si>
    <t xml:space="preserve">Training package for handling and storage of line pipe and fittings - this is intially going to be provided via a useful document section on the members centre </t>
  </si>
  <si>
    <t>Comparison of the probabilty of failure due t exernal corrosion in piggable and unpiggable pipelines</t>
  </si>
  <si>
    <t>GPG for decomissioning and abandonment</t>
  </si>
  <si>
    <t>10 days to be included in PIE tech support budget</t>
  </si>
  <si>
    <t>30 days document development (7.25, .26 and .27) plus 2 people at 3 meetings total 42 days</t>
  </si>
  <si>
    <t>Proejct completed under currently approved budget.  £20K requested for future work which will be scoped during 2020</t>
  </si>
  <si>
    <t>2020 Totals and Variance to Date</t>
  </si>
  <si>
    <t xml:space="preserve"> 2021 Budget      (£k) </t>
  </si>
  <si>
    <t>Collect 2019 Fault Data and Production of report</t>
  </si>
  <si>
    <t>Includes time for PIE to visit each of the members to ensure the correct data is collected 20 days</t>
  </si>
  <si>
    <t>Macaw - Moved to PIE in 2019</t>
  </si>
  <si>
    <t>Rosen</t>
  </si>
  <si>
    <t>Inc in line 7.2</t>
  </si>
  <si>
    <t>Money in bank at the beginning of 2020</t>
  </si>
  <si>
    <t xml:space="preserve">                  Expenditure for the Period 2020</t>
  </si>
  <si>
    <t>16 days budgetted for production of guide</t>
  </si>
  <si>
    <t>Planned for 2021 but could be condidered later in 2020</t>
  </si>
  <si>
    <t>Could this be used as the technical seminar 2020?</t>
  </si>
  <si>
    <t>Most will be spent in 2019, (will be updated after final 2019 expenditure is prepared), remaining is to be closed out first quarter 2020</t>
  </si>
  <si>
    <t>Following on from some statistical analysis at the end of 2019, this is to be reviewed at the January FARWG meeting and expenditure agreed or removed</t>
  </si>
  <si>
    <t>This is to be moved to 2020 - January FARWG to include an agenda item and then agree wether the line item is to remain or not</t>
  </si>
  <si>
    <t>20 days including literature search, review of members docs and production of guide - a way forward is to be agreed at the January FARWG meeting</t>
  </si>
  <si>
    <t>This should remain at 5 days budget with a review taking place at the Sept 2020 meeting and the budget increased or reduced if required</t>
  </si>
  <si>
    <t>Relevant</t>
  </si>
  <si>
    <t>Information</t>
  </si>
  <si>
    <t>Amout orginally approved</t>
  </si>
  <si>
    <t>Intergen</t>
  </si>
  <si>
    <t>EPUKI</t>
  </si>
  <si>
    <t>Scoping, content and formate of UKOPA working safely DVD</t>
  </si>
  <si>
    <t>10 days orginally budgetted, XX spent and YY carried over</t>
  </si>
  <si>
    <t>Production of course module if 4.13 has support from the college community</t>
  </si>
  <si>
    <t>Requirements for MOP affirmation</t>
  </si>
  <si>
    <t>Requirements for MOP Affirmation</t>
  </si>
  <si>
    <t>GPG for behavioural safety in pipeline management</t>
  </si>
  <si>
    <t>prepared 15/12/2019</t>
  </si>
  <si>
    <t>prepared 16/12/19</t>
  </si>
  <si>
    <t>UKOPA/BD/20/01</t>
  </si>
  <si>
    <t>This work was taken back in house - managed by Barry MacKay - when Rosen request an extremely large amount for phase 2 of the project.  PIE have done some analysis and are to be asked to provide an updated budget for this phase of the work.  This Line will be updated when agreed</t>
  </si>
  <si>
    <t>The intial phase of the this project has been completed and invoiced by Rosen, however, a second phase has been requested and is being discused at the January PIWG meeting</t>
  </si>
  <si>
    <t>P Lydon invoiced in 2019 for part of the development work and will invoice for the rest once it has been approved.  Funding is available for roll out of the document and for Pat's support moving forward</t>
  </si>
  <si>
    <t>10 days to be included in PIE tech support budget this can be moved into 2021??</t>
  </si>
  <si>
    <t>Planned spend 2020 (inc previously approved budget)</t>
  </si>
  <si>
    <t>Review of last 5 years UKOPA Financial Performance</t>
  </si>
  <si>
    <t>Overall Budget</t>
  </si>
  <si>
    <t>Adjusted budget during year</t>
  </si>
  <si>
    <t>Actual spend</t>
  </si>
  <si>
    <t>Open Bank Balance</t>
  </si>
  <si>
    <t>Closing Bank Balance</t>
  </si>
  <si>
    <t>Income from members</t>
  </si>
  <si>
    <t>No of members</t>
  </si>
  <si>
    <t>Underspend from original budget</t>
  </si>
  <si>
    <t>Underspend from adjuested budget</t>
  </si>
  <si>
    <t>UKOPA Running Cost</t>
  </si>
  <si>
    <t>Project Costs</t>
  </si>
  <si>
    <t>additional info</t>
  </si>
  <si>
    <t>Budgetted expenditure 2020</t>
  </si>
  <si>
    <t>Year</t>
  </si>
  <si>
    <t>paid</t>
  </si>
  <si>
    <t>Money in bank (May 2020)</t>
  </si>
  <si>
    <t>Sprend approved prior to 2020</t>
  </si>
  <si>
    <t>Income to date</t>
  </si>
  <si>
    <t>Members Centre Update</t>
  </si>
  <si>
    <t>Linux</t>
  </si>
  <si>
    <t>UKOPA-EA-20-1</t>
  </si>
  <si>
    <t>Opening balance plus membership fees (if all paid)</t>
  </si>
  <si>
    <t>Future Workloads</t>
  </si>
  <si>
    <t>Mgmt of Change questions for pipelines</t>
  </si>
  <si>
    <t>Comments Dec 2019</t>
  </si>
  <si>
    <t>Comments June 2020</t>
  </si>
  <si>
    <t>There has been no desire to see this progressing by the hydrocarbon members. Decision for the project to be cancelled and money reapplied for at such time as wanted.  Money to be returned</t>
  </si>
  <si>
    <t>Despite numberous requests for suggestions from members to update the report, none has been received. Could compare against EGIG and Concawe report to see if thre is anything of interested that could be added but if there is no desire fom the board either, this could be returned</t>
  </si>
  <si>
    <t>Given that all conferences have been cancelled / postponed this expenditure is not expected to be used - return</t>
  </si>
  <si>
    <t>There is a want for this document to be developed and a subgroup meeting is being held on 24th June. It is expected that this work will have to be done outside of UKOPA, via a similar process to that used to engage Risktec for the PSWG Framework development</t>
  </si>
  <si>
    <t>Data cleans exercise still to be carried out</t>
  </si>
  <si>
    <t>On track</t>
  </si>
  <si>
    <t>Expected to be carried over to next year, but would like to keep in the programme</t>
  </si>
  <si>
    <t>Not being spent</t>
  </si>
  <si>
    <t>Potentail carry over</t>
  </si>
  <si>
    <t>Expected spend</t>
  </si>
  <si>
    <t>Comment - December 2019</t>
  </si>
  <si>
    <t>Comment - June 2020</t>
  </si>
  <si>
    <t>Expected underspend of 4 days (1.95K)</t>
  </si>
  <si>
    <t>To be carried out this year</t>
  </si>
  <si>
    <t>Spend not expected, but requested costs to run a webinar for this year - awaiting confirmation</t>
  </si>
  <si>
    <t>£130 underspend</t>
  </si>
  <si>
    <t>Document completed and ready to go to print.  There could be some carry over which will be used to update the Landowner version so the 2 align</t>
  </si>
  <si>
    <t>Some filming might take place this year, with some carryover into 2020, forcast £5K spend and £5K carry over</t>
  </si>
  <si>
    <t>budget for 5 days</t>
  </si>
  <si>
    <t>on track</t>
  </si>
  <si>
    <t>Not going ahead</t>
  </si>
  <si>
    <t>Not going ahead but funding may be reallocated.  Initially though expect to carry over</t>
  </si>
  <si>
    <t>Not required</t>
  </si>
  <si>
    <t>Not expecting very much spend this year. Forecast £5K with £15K carried over to 2021</t>
  </si>
  <si>
    <t>On track to be spent</t>
  </si>
  <si>
    <t>This is unlikely to be spent this year.  How do the Board want to proceed with this project.  Currently cancelling</t>
  </si>
  <si>
    <t>Covered in 7.2</t>
  </si>
  <si>
    <t>Proposal from PIE to do the spreadsheet analysis is £16.9K (26 days) Expected spend £11.3K with £8.7K carried over to 2021</t>
  </si>
  <si>
    <t>Combination of all 3 line items is expected to be spent</t>
  </si>
  <si>
    <t>Not going to be spent this year but will look to schedule for 2021</t>
  </si>
  <si>
    <t>Scoping going ahead but may not required the whole budget forecast  3 days £1.95K spend</t>
  </si>
  <si>
    <t>Expected half sepnd, 2.5 days (£1.63K)</t>
  </si>
  <si>
    <t>Expected WG spend for 2020</t>
  </si>
  <si>
    <t>WG budget not being used</t>
  </si>
  <si>
    <t>WG Carry Over to 2021</t>
  </si>
  <si>
    <t xml:space="preserve"> Revised Forecast at  end 2020      (£k) </t>
  </si>
  <si>
    <t>prepared 11/10/19 reviewed with S Joyce and updated on 29/10/19 - comments added. Updated with spend to date for July 1st Sept 2020</t>
  </si>
  <si>
    <t>Spend approved in 2020</t>
  </si>
  <si>
    <t>Comment - December 2020</t>
  </si>
  <si>
    <t>PIWG requested a technical author prepared a signpost document for the DC and AC GPGs and the first draft has been received</t>
  </si>
  <si>
    <t>Rosen are behind with the project</t>
  </si>
  <si>
    <t>Cash in bank</t>
  </si>
  <si>
    <t>Updated 9th December 2020</t>
  </si>
  <si>
    <t>Revised Forecast (End Dec 2020)</t>
  </si>
  <si>
    <t>spend to date (31-12-20)</t>
  </si>
  <si>
    <r>
      <t>Monies Available 23 Dec (</t>
    </r>
    <r>
      <rPr>
        <b/>
        <sz val="10"/>
        <color indexed="17"/>
        <rFont val="Arial"/>
        <family val="2"/>
      </rPr>
      <t>bank statement)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</si>
</sst>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36">
    <font>
      <sz val="11"/>
      <color theme="1"/>
      <name val="Calibri"/>
      <family val="2"/>
      <scheme val="minor"/>
    </font>
    <font>
      <sz val="10"/>
      <color indexed="53"/>
      <name val="Arial"/>
      <family val="2"/>
    </font>
    <font>
      <b/>
      <sz val="14"/>
      <name val="Arial"/>
      <family val="2"/>
    </font>
    <font>
      <b/>
      <sz val="10"/>
      <name val="Arial"/>
      <family val="2"/>
    </font>
    <font>
      <b/>
      <sz val="10"/>
      <color indexed="8"/>
      <name val="Arial"/>
      <family val="2"/>
    </font>
    <font>
      <sz val="10"/>
      <color indexed="8"/>
      <name val="Arial"/>
      <family val="2"/>
    </font>
    <font>
      <sz val="10"/>
      <name val="Arial"/>
      <family val="2"/>
    </font>
    <font>
      <sz val="8"/>
      <name val="Calibri"/>
      <family val="2"/>
    </font>
    <font>
      <b/>
      <sz val="16"/>
      <name val="Arial"/>
      <family val="2"/>
    </font>
    <font>
      <sz val="10"/>
      <color indexed="17"/>
      <name val="Arial"/>
      <family val="2"/>
    </font>
    <font>
      <b/>
      <sz val="10"/>
      <color indexed="17"/>
      <name val="Arial"/>
      <family val="2"/>
    </font>
    <font>
      <sz val="11"/>
      <name val="Calibri (Body)"/>
    </font>
    <font>
      <b/>
      <sz val="11"/>
      <color theme="1"/>
      <name val="Calibri"/>
      <family val="2"/>
      <scheme val="minor"/>
    </font>
    <font>
      <sz val="11"/>
      <color rgb="FFFF0000"/>
      <name val="Calibri"/>
      <family val="2"/>
      <scheme val="minor"/>
    </font>
    <font>
      <sz val="10"/>
      <color rgb="FF00B050"/>
      <name val="Arial"/>
      <family val="2"/>
    </font>
    <font>
      <sz val="10"/>
      <color theme="1"/>
      <name val="Arial"/>
      <family val="2"/>
    </font>
    <font>
      <sz val="11"/>
      <name val="Calibri"/>
      <family val="2"/>
      <scheme val="minor"/>
    </font>
    <font>
      <b/>
      <sz val="10"/>
      <color theme="1"/>
      <name val="Arial"/>
      <family val="2"/>
    </font>
    <font>
      <b/>
      <sz val="10"/>
      <color rgb="FFFF0000"/>
      <name val="Arial"/>
      <family val="2"/>
    </font>
    <font>
      <sz val="10"/>
      <color rgb="FF000000"/>
      <name val="Arial"/>
      <family val="2"/>
    </font>
    <font>
      <b/>
      <sz val="10"/>
      <color rgb="FF000000"/>
      <name val="Arial"/>
      <family val="2"/>
    </font>
    <font>
      <sz val="11"/>
      <color rgb="FF000000"/>
      <name val="Calibri"/>
      <family val="2"/>
      <scheme val="minor"/>
    </font>
    <font>
      <b/>
      <sz val="10"/>
      <color rgb="FF008000"/>
      <name val="Arial"/>
      <family val="2"/>
    </font>
    <font>
      <sz val="11"/>
      <color rgb="FF008000"/>
      <name val="Calibri"/>
      <family val="2"/>
      <scheme val="minor"/>
    </font>
    <font>
      <b/>
      <sz val="11"/>
      <color rgb="FF008000"/>
      <name val="Calibri"/>
      <family val="2"/>
      <scheme val="minor"/>
    </font>
    <font>
      <sz val="10"/>
      <color rgb="FF3366FF"/>
      <name val="Arial"/>
      <family val="2"/>
    </font>
    <font>
      <sz val="11"/>
      <color theme="1"/>
      <name val="Arial"/>
      <family val="2"/>
    </font>
    <font>
      <sz val="10"/>
      <color rgb="FFFF0000"/>
      <name val="Arial"/>
      <family val="2"/>
    </font>
    <font>
      <b/>
      <sz val="11"/>
      <name val="Calibri"/>
      <family val="2"/>
      <scheme val="minor"/>
    </font>
    <font>
      <b/>
      <sz val="11"/>
      <color rgb="FFFF0000"/>
      <name val="Calibri"/>
      <family val="2"/>
      <scheme val="minor"/>
    </font>
    <font>
      <b/>
      <sz val="14"/>
      <color theme="1"/>
      <name val="Arial"/>
      <family val="2"/>
    </font>
    <font>
      <sz val="12"/>
      <name val="Calibri"/>
      <family val="2"/>
      <scheme val="minor"/>
    </font>
    <font>
      <sz val="8"/>
      <name val="Calibri"/>
      <family val="2"/>
      <scheme val="minor"/>
    </font>
    <font>
      <sz val="16"/>
      <color theme="1"/>
      <name val="Calibri"/>
      <family val="2"/>
      <scheme val="minor"/>
    </font>
    <font>
      <sz val="18"/>
      <color theme="1"/>
      <name val="Calibri"/>
      <family val="2"/>
      <scheme val="minor"/>
    </font>
    <font>
      <sz val="16"/>
      <color rgb="FFFF0000"/>
      <name val="Calibri"/>
      <family val="2"/>
      <scheme val="minor"/>
    </font>
  </fonts>
  <fills count="8">
    <fill>
      <patternFill patternType="none"/>
    </fill>
    <fill>
      <patternFill patternType="gray125"/>
    </fill>
    <fill>
      <patternFill patternType="solid">
        <fgColor rgb="FF00B0F0"/>
        <bgColor indexed="64"/>
      </patternFill>
    </fill>
    <fill>
      <patternFill patternType="solid">
        <fgColor rgb="FF92D050"/>
        <bgColor indexed="64"/>
      </patternFill>
    </fill>
    <fill>
      <patternFill patternType="solid">
        <fgColor rgb="FFFFFF00"/>
        <bgColor indexed="64"/>
      </patternFill>
    </fill>
    <fill>
      <patternFill patternType="solid">
        <fgColor rgb="FFFF0000"/>
        <bgColor indexed="64"/>
      </patternFill>
    </fill>
    <fill>
      <patternFill patternType="solid">
        <fgColor theme="9"/>
        <bgColor indexed="64"/>
      </patternFill>
    </fill>
    <fill>
      <patternFill patternType="solid">
        <fgColor rgb="FFFFC000"/>
        <bgColor indexed="64"/>
      </patternFill>
    </fill>
  </fills>
  <borders count="16">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style="thin">
        <color auto="1"/>
      </bottom>
      <diagonal/>
    </border>
    <border>
      <left/>
      <right style="thin">
        <color auto="1"/>
      </right>
      <top style="thin">
        <color auto="1"/>
      </top>
      <bottom/>
      <diagonal/>
    </border>
  </borders>
  <cellStyleXfs count="1">
    <xf numFmtId="0" fontId="0" fillId="0" borderId="0"/>
  </cellStyleXfs>
  <cellXfs count="379">
    <xf numFmtId="0" fontId="0" fillId="0" borderId="0" xfId="0"/>
    <xf numFmtId="0" fontId="0" fillId="0" borderId="0" xfId="0" applyBorder="1"/>
    <xf numFmtId="0" fontId="1" fillId="0" borderId="0" xfId="0" applyFont="1"/>
    <xf numFmtId="0" fontId="2" fillId="0" borderId="0" xfId="0" applyFont="1"/>
    <xf numFmtId="0" fontId="3" fillId="0" borderId="0" xfId="0" applyFont="1"/>
    <xf numFmtId="0" fontId="3" fillId="0" borderId="1" xfId="0" applyFont="1" applyBorder="1" applyAlignment="1">
      <alignment horizontal="center"/>
    </xf>
    <xf numFmtId="0" fontId="4" fillId="0" borderId="1" xfId="0" applyFont="1" applyBorder="1"/>
    <xf numFmtId="0" fontId="4" fillId="0" borderId="2" xfId="0" applyFont="1" applyBorder="1" applyAlignment="1">
      <alignment horizontal="center"/>
    </xf>
    <xf numFmtId="0" fontId="3" fillId="0" borderId="4" xfId="0" applyFont="1" applyBorder="1" applyAlignment="1">
      <alignment horizontal="center"/>
    </xf>
    <xf numFmtId="0" fontId="4" fillId="0" borderId="4" xfId="0" applyFont="1" applyBorder="1"/>
    <xf numFmtId="0" fontId="4" fillId="0" borderId="0" xfId="0" applyFont="1" applyAlignment="1">
      <alignment horizontal="center" wrapText="1"/>
    </xf>
    <xf numFmtId="0" fontId="0" fillId="0" borderId="5" xfId="0" applyBorder="1"/>
    <xf numFmtId="0" fontId="0" fillId="0" borderId="6" xfId="0" applyBorder="1"/>
    <xf numFmtId="0" fontId="5" fillId="0" borderId="6" xfId="0" applyFont="1" applyBorder="1"/>
    <xf numFmtId="0" fontId="4" fillId="0" borderId="6" xfId="0" applyFont="1" applyBorder="1" applyAlignment="1">
      <alignment horizontal="center" wrapText="1"/>
    </xf>
    <xf numFmtId="0" fontId="4" fillId="0" borderId="7" xfId="0" applyFont="1" applyBorder="1"/>
    <xf numFmtId="0" fontId="4" fillId="0" borderId="7" xfId="0" applyFont="1" applyBorder="1" applyAlignment="1">
      <alignment horizontal="center" wrapText="1"/>
    </xf>
    <xf numFmtId="0" fontId="6" fillId="0" borderId="8" xfId="0" applyFont="1" applyBorder="1"/>
    <xf numFmtId="2" fontId="6" fillId="0" borderId="7" xfId="0" applyNumberFormat="1" applyFont="1" applyBorder="1"/>
    <xf numFmtId="2" fontId="6" fillId="0" borderId="7" xfId="0" applyNumberFormat="1" applyFont="1" applyFill="1" applyBorder="1"/>
    <xf numFmtId="2" fontId="6" fillId="0" borderId="10" xfId="0" applyNumberFormat="1" applyFont="1" applyBorder="1"/>
    <xf numFmtId="0" fontId="3" fillId="0" borderId="9" xfId="0" applyFont="1" applyBorder="1"/>
    <xf numFmtId="0" fontId="3" fillId="0" borderId="5" xfId="0" applyFont="1" applyBorder="1"/>
    <xf numFmtId="0" fontId="3" fillId="0" borderId="11" xfId="0" applyFont="1" applyBorder="1"/>
    <xf numFmtId="0" fontId="3" fillId="0" borderId="7" xfId="0" applyFont="1" applyBorder="1"/>
    <xf numFmtId="0" fontId="3" fillId="0" borderId="6" xfId="0" applyFont="1" applyBorder="1"/>
    <xf numFmtId="0" fontId="6" fillId="0" borderId="6" xfId="0" applyFont="1" applyBorder="1"/>
    <xf numFmtId="2" fontId="0" fillId="0" borderId="0" xfId="0" applyNumberFormat="1"/>
    <xf numFmtId="0" fontId="3" fillId="0" borderId="0" xfId="0" applyFont="1" applyBorder="1"/>
    <xf numFmtId="0" fontId="6" fillId="0" borderId="0" xfId="0" applyFont="1" applyBorder="1"/>
    <xf numFmtId="0" fontId="6" fillId="0" borderId="9" xfId="0" applyFont="1" applyBorder="1" applyAlignment="1">
      <alignment wrapText="1"/>
    </xf>
    <xf numFmtId="0" fontId="0" fillId="0" borderId="12" xfId="0" applyBorder="1"/>
    <xf numFmtId="0" fontId="12" fillId="0" borderId="1" xfId="0" applyFont="1" applyBorder="1"/>
    <xf numFmtId="2" fontId="0" fillId="0" borderId="6" xfId="0" applyNumberFormat="1" applyBorder="1"/>
    <xf numFmtId="2" fontId="0" fillId="0" borderId="12" xfId="0" applyNumberFormat="1" applyBorder="1"/>
    <xf numFmtId="2" fontId="0" fillId="0" borderId="7" xfId="0" applyNumberFormat="1" applyBorder="1"/>
    <xf numFmtId="0" fontId="4" fillId="0" borderId="1" xfId="0" applyFont="1" applyBorder="1" applyAlignment="1">
      <alignment horizontal="center" wrapText="1"/>
    </xf>
    <xf numFmtId="0" fontId="3" fillId="0" borderId="7" xfId="0" applyFont="1" applyBorder="1" applyAlignment="1"/>
    <xf numFmtId="0" fontId="13" fillId="0" borderId="0" xfId="0" applyFont="1"/>
    <xf numFmtId="4" fontId="13" fillId="0" borderId="0" xfId="0" applyNumberFormat="1" applyFont="1" applyBorder="1"/>
    <xf numFmtId="0" fontId="15" fillId="0" borderId="7" xfId="0" applyFont="1" applyBorder="1" applyAlignment="1">
      <alignment horizontal="center"/>
    </xf>
    <xf numFmtId="0" fontId="15" fillId="0" borderId="8" xfId="0" applyFont="1" applyBorder="1" applyAlignment="1">
      <alignment horizontal="center" wrapText="1"/>
    </xf>
    <xf numFmtId="0" fontId="6" fillId="0" borderId="8" xfId="0" applyFont="1" applyBorder="1" applyAlignment="1">
      <alignment horizontal="center"/>
    </xf>
    <xf numFmtId="2" fontId="6" fillId="0" borderId="7" xfId="0" applyNumberFormat="1" applyFont="1" applyBorder="1" applyAlignment="1">
      <alignment horizontal="right"/>
    </xf>
    <xf numFmtId="0" fontId="3" fillId="0" borderId="7" xfId="0" applyFont="1" applyBorder="1" applyAlignment="1">
      <alignment horizontal="center" wrapText="1"/>
    </xf>
    <xf numFmtId="0" fontId="16" fillId="0" borderId="7" xfId="0" applyFont="1" applyBorder="1"/>
    <xf numFmtId="0" fontId="15" fillId="0" borderId="13" xfId="0" applyFont="1" applyBorder="1"/>
    <xf numFmtId="0" fontId="17" fillId="0" borderId="13" xfId="0" applyFont="1" applyBorder="1"/>
    <xf numFmtId="0" fontId="15" fillId="0" borderId="12" xfId="0" applyFont="1" applyBorder="1" applyAlignment="1">
      <alignment horizontal="center"/>
    </xf>
    <xf numFmtId="0" fontId="17" fillId="0" borderId="12" xfId="0" applyFont="1" applyBorder="1" applyAlignment="1">
      <alignment horizontal="center"/>
    </xf>
    <xf numFmtId="0" fontId="15" fillId="0" borderId="12" xfId="0" applyFont="1" applyBorder="1"/>
    <xf numFmtId="0" fontId="17" fillId="0" borderId="1" xfId="0" applyFont="1" applyBorder="1" applyAlignment="1">
      <alignment horizontal="center"/>
    </xf>
    <xf numFmtId="0" fontId="17" fillId="0" borderId="2" xfId="0" applyFont="1" applyBorder="1"/>
    <xf numFmtId="0" fontId="15" fillId="0" borderId="5" xfId="0" applyFont="1" applyBorder="1"/>
    <xf numFmtId="0" fontId="15" fillId="0" borderId="6" xfId="0" applyFont="1" applyBorder="1"/>
    <xf numFmtId="0" fontId="17" fillId="0" borderId="2" xfId="0" applyFont="1" applyBorder="1" applyAlignment="1">
      <alignment horizontal="right"/>
    </xf>
    <xf numFmtId="2" fontId="17" fillId="0" borderId="1" xfId="0" applyNumberFormat="1" applyFont="1" applyBorder="1"/>
    <xf numFmtId="0" fontId="4" fillId="0" borderId="13" xfId="0" applyFont="1" applyBorder="1" applyAlignment="1">
      <alignment horizontal="center"/>
    </xf>
    <xf numFmtId="0" fontId="4" fillId="0" borderId="6" xfId="0" applyFont="1" applyBorder="1" applyAlignment="1">
      <alignment horizontal="center"/>
    </xf>
    <xf numFmtId="0" fontId="18" fillId="0" borderId="0" xfId="0" applyFont="1" applyAlignment="1"/>
    <xf numFmtId="1" fontId="15" fillId="0" borderId="12" xfId="0" applyNumberFormat="1" applyFont="1" applyBorder="1"/>
    <xf numFmtId="2" fontId="13" fillId="0" borderId="0" xfId="0" applyNumberFormat="1" applyFont="1"/>
    <xf numFmtId="0" fontId="19" fillId="0" borderId="12" xfId="0" applyFont="1" applyBorder="1"/>
    <xf numFmtId="1" fontId="19" fillId="0" borderId="12" xfId="0" applyNumberFormat="1" applyFont="1" applyBorder="1"/>
    <xf numFmtId="2" fontId="20" fillId="0" borderId="1" xfId="0" applyNumberFormat="1" applyFont="1" applyBorder="1"/>
    <xf numFmtId="2" fontId="21" fillId="0" borderId="6" xfId="0" applyNumberFormat="1" applyFont="1" applyBorder="1"/>
    <xf numFmtId="0" fontId="4" fillId="0" borderId="12" xfId="0" applyFont="1" applyBorder="1" applyAlignment="1"/>
    <xf numFmtId="0" fontId="19" fillId="0" borderId="12" xfId="0" applyFont="1" applyFill="1" applyBorder="1"/>
    <xf numFmtId="0" fontId="8" fillId="0" borderId="0" xfId="0" applyFont="1" applyAlignment="1"/>
    <xf numFmtId="0" fontId="17" fillId="0" borderId="1" xfId="0" applyFont="1" applyFill="1" applyBorder="1" applyAlignment="1">
      <alignment horizontal="center"/>
    </xf>
    <xf numFmtId="0" fontId="22" fillId="0" borderId="1" xfId="0" applyFont="1" applyFill="1" applyBorder="1" applyAlignment="1">
      <alignment horizontal="center"/>
    </xf>
    <xf numFmtId="0" fontId="23" fillId="0" borderId="12" xfId="0" applyFont="1" applyBorder="1"/>
    <xf numFmtId="0" fontId="22" fillId="0" borderId="12" xfId="0" applyFont="1" applyBorder="1" applyAlignment="1">
      <alignment horizontal="center"/>
    </xf>
    <xf numFmtId="0" fontId="23" fillId="0" borderId="6" xfId="0" applyFont="1" applyBorder="1"/>
    <xf numFmtId="0" fontId="24" fillId="0" borderId="1" xfId="0" applyFont="1" applyBorder="1"/>
    <xf numFmtId="0" fontId="13" fillId="0" borderId="12" xfId="0" applyFont="1" applyBorder="1"/>
    <xf numFmtId="2" fontId="25" fillId="0" borderId="7" xfId="0" applyNumberFormat="1" applyFont="1" applyFill="1" applyBorder="1" applyAlignment="1">
      <alignment horizontal="right"/>
    </xf>
    <xf numFmtId="2" fontId="6" fillId="0" borderId="7" xfId="0" applyNumberFormat="1" applyFont="1" applyFill="1" applyBorder="1" applyAlignment="1">
      <alignment horizontal="right"/>
    </xf>
    <xf numFmtId="0" fontId="26" fillId="0" borderId="12" xfId="0" applyFont="1" applyFill="1" applyBorder="1"/>
    <xf numFmtId="0" fontId="4" fillId="0" borderId="12" xfId="0" applyFont="1" applyFill="1" applyBorder="1" applyAlignment="1">
      <alignment horizontal="center"/>
    </xf>
    <xf numFmtId="0" fontId="6" fillId="0" borderId="9" xfId="0" applyFont="1" applyFill="1" applyBorder="1" applyAlignment="1">
      <alignment vertical="center" wrapText="1"/>
    </xf>
    <xf numFmtId="0" fontId="15" fillId="0" borderId="7" xfId="0" applyFont="1" applyFill="1" applyBorder="1" applyAlignment="1">
      <alignment horizontal="center" vertical="center"/>
    </xf>
    <xf numFmtId="0" fontId="15"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2" fontId="6" fillId="0" borderId="10" xfId="0" applyNumberFormat="1" applyFont="1" applyFill="1" applyBorder="1" applyAlignment="1">
      <alignment vertical="center"/>
    </xf>
    <xf numFmtId="2" fontId="6" fillId="0" borderId="7" xfId="0" applyNumberFormat="1" applyFont="1" applyFill="1" applyBorder="1" applyAlignment="1">
      <alignment vertical="center"/>
    </xf>
    <xf numFmtId="1" fontId="0" fillId="0" borderId="0" xfId="0" applyNumberFormat="1"/>
    <xf numFmtId="0" fontId="0" fillId="0" borderId="14" xfId="0" applyBorder="1"/>
    <xf numFmtId="0" fontId="5" fillId="0" borderId="14" xfId="0" applyFont="1" applyBorder="1"/>
    <xf numFmtId="0" fontId="4" fillId="0" borderId="5" xfId="0" applyFont="1" applyBorder="1" applyAlignment="1">
      <alignment horizontal="center"/>
    </xf>
    <xf numFmtId="0" fontId="12" fillId="0" borderId="5" xfId="0" applyFont="1" applyBorder="1"/>
    <xf numFmtId="0" fontId="26" fillId="0" borderId="12" xfId="0" applyFont="1" applyFill="1" applyBorder="1" applyAlignment="1">
      <alignment wrapText="1"/>
    </xf>
    <xf numFmtId="0" fontId="0" fillId="0" borderId="0" xfId="0" applyAlignment="1"/>
    <xf numFmtId="0" fontId="4" fillId="0" borderId="11" xfId="0" applyFont="1" applyBorder="1" applyAlignment="1"/>
    <xf numFmtId="0" fontId="0" fillId="0" borderId="7" xfId="0" applyBorder="1"/>
    <xf numFmtId="0" fontId="12" fillId="0" borderId="7" xfId="0" applyFont="1" applyBorder="1"/>
    <xf numFmtId="2" fontId="4" fillId="0" borderId="7" xfId="0" applyNumberFormat="1" applyFont="1" applyBorder="1" applyAlignment="1"/>
    <xf numFmtId="2" fontId="22" fillId="0" borderId="10" xfId="0" applyNumberFormat="1" applyFont="1" applyFill="1" applyBorder="1"/>
    <xf numFmtId="0" fontId="3" fillId="0" borderId="0" xfId="0" applyFont="1" applyFill="1" applyBorder="1"/>
    <xf numFmtId="0" fontId="6" fillId="0" borderId="0" xfId="0" applyFont="1" applyFill="1" applyBorder="1"/>
    <xf numFmtId="2" fontId="6" fillId="0" borderId="9" xfId="0" applyNumberFormat="1" applyFont="1" applyBorder="1"/>
    <xf numFmtId="2" fontId="4" fillId="0" borderId="7" xfId="0" applyNumberFormat="1" applyFont="1" applyFill="1" applyBorder="1" applyAlignment="1"/>
    <xf numFmtId="49" fontId="15" fillId="0" borderId="9" xfId="0" applyNumberFormat="1" applyFont="1" applyFill="1" applyBorder="1" applyAlignment="1">
      <alignment horizontal="right"/>
    </xf>
    <xf numFmtId="0" fontId="16" fillId="0" borderId="5" xfId="0" applyFont="1" applyBorder="1"/>
    <xf numFmtId="0" fontId="6" fillId="0" borderId="14" xfId="0" applyFont="1" applyBorder="1"/>
    <xf numFmtId="0" fontId="16" fillId="0" borderId="6" xfId="0" applyFont="1" applyBorder="1"/>
    <xf numFmtId="0" fontId="16" fillId="0" borderId="14" xfId="0" applyFont="1" applyBorder="1"/>
    <xf numFmtId="0" fontId="28" fillId="0" borderId="5" xfId="0" applyFont="1" applyBorder="1"/>
    <xf numFmtId="2" fontId="3" fillId="0" borderId="7" xfId="0" applyNumberFormat="1" applyFont="1" applyFill="1" applyBorder="1" applyAlignment="1"/>
    <xf numFmtId="0" fontId="0" fillId="0" borderId="0" xfId="0" applyFill="1"/>
    <xf numFmtId="2" fontId="29" fillId="0" borderId="0" xfId="0" applyNumberFormat="1" applyFont="1" applyFill="1" applyBorder="1"/>
    <xf numFmtId="0" fontId="0" fillId="0" borderId="0" xfId="0" applyNumberFormat="1" applyFill="1" applyAlignment="1">
      <alignment vertical="top" wrapText="1"/>
    </xf>
    <xf numFmtId="0" fontId="12" fillId="0" borderId="0" xfId="0" applyFont="1" applyFill="1"/>
    <xf numFmtId="2" fontId="0" fillId="0" borderId="0" xfId="0" applyNumberFormat="1" applyFill="1"/>
    <xf numFmtId="0" fontId="16" fillId="0" borderId="5" xfId="0" applyFont="1" applyFill="1" applyBorder="1"/>
    <xf numFmtId="0" fontId="16" fillId="0" borderId="6" xfId="0" applyFont="1" applyFill="1" applyBorder="1"/>
    <xf numFmtId="0" fontId="16" fillId="0" borderId="14" xfId="0" applyFont="1" applyFill="1" applyBorder="1"/>
    <xf numFmtId="0" fontId="6" fillId="0" borderId="14" xfId="0" applyFont="1" applyFill="1" applyBorder="1"/>
    <xf numFmtId="0" fontId="28" fillId="0" borderId="5" xfId="0" applyFont="1" applyFill="1" applyBorder="1"/>
    <xf numFmtId="0" fontId="0" fillId="2" borderId="0" xfId="0" applyFill="1"/>
    <xf numFmtId="0" fontId="12" fillId="0" borderId="0" xfId="0" applyFont="1"/>
    <xf numFmtId="0" fontId="11" fillId="0" borderId="0" xfId="0" applyFont="1" applyFill="1"/>
    <xf numFmtId="2" fontId="16" fillId="0" borderId="0" xfId="0" applyNumberFormat="1" applyFont="1" applyFill="1"/>
    <xf numFmtId="0" fontId="0" fillId="0" borderId="0" xfId="0" applyAlignment="1">
      <alignment wrapText="1"/>
    </xf>
    <xf numFmtId="2" fontId="15" fillId="0" borderId="7" xfId="0" applyNumberFormat="1" applyFont="1" applyFill="1" applyBorder="1"/>
    <xf numFmtId="0" fontId="5" fillId="0" borderId="7" xfId="0" applyFont="1" applyBorder="1" applyAlignment="1">
      <alignment horizontal="center" wrapText="1"/>
    </xf>
    <xf numFmtId="0" fontId="5" fillId="0" borderId="7" xfId="0" applyFont="1" applyBorder="1"/>
    <xf numFmtId="0" fontId="3" fillId="0" borderId="0" xfId="0" applyFont="1" applyAlignment="1"/>
    <xf numFmtId="0" fontId="0" fillId="0" borderId="0" xfId="0" applyAlignment="1"/>
    <xf numFmtId="0" fontId="16" fillId="3" borderId="5" xfId="0" applyFont="1" applyFill="1" applyBorder="1"/>
    <xf numFmtId="0" fontId="6" fillId="3" borderId="7" xfId="0" applyFont="1" applyFill="1" applyBorder="1" applyAlignment="1">
      <alignment horizontal="center"/>
    </xf>
    <xf numFmtId="0" fontId="6" fillId="3" borderId="8" xfId="0" applyFont="1" applyFill="1" applyBorder="1" applyAlignment="1">
      <alignment horizontal="center"/>
    </xf>
    <xf numFmtId="0" fontId="6" fillId="3" borderId="14" xfId="0" applyFont="1" applyFill="1" applyBorder="1" applyAlignment="1">
      <alignment horizontal="center"/>
    </xf>
    <xf numFmtId="2" fontId="6" fillId="3" borderId="7" xfId="0" applyNumberFormat="1" applyFont="1" applyFill="1" applyBorder="1" applyAlignment="1">
      <alignment horizontal="right"/>
    </xf>
    <xf numFmtId="0" fontId="6" fillId="3" borderId="8" xfId="0" applyFont="1" applyFill="1" applyBorder="1" applyAlignment="1">
      <alignment horizontal="center" wrapText="1"/>
    </xf>
    <xf numFmtId="2" fontId="6" fillId="3" borderId="10" xfId="0" applyNumberFormat="1" applyFont="1" applyFill="1" applyBorder="1"/>
    <xf numFmtId="0" fontId="0" fillId="3" borderId="5" xfId="0" applyFill="1" applyBorder="1"/>
    <xf numFmtId="0" fontId="15" fillId="3" borderId="7" xfId="0" applyFont="1" applyFill="1" applyBorder="1" applyAlignment="1">
      <alignment horizontal="center"/>
    </xf>
    <xf numFmtId="0" fontId="15" fillId="3" borderId="8" xfId="0" applyFont="1" applyFill="1" applyBorder="1" applyAlignment="1">
      <alignment horizontal="center" wrapText="1"/>
    </xf>
    <xf numFmtId="0" fontId="0" fillId="3" borderId="5" xfId="0" applyFont="1" applyFill="1" applyBorder="1"/>
    <xf numFmtId="0" fontId="15" fillId="3" borderId="8" xfId="0" applyFont="1" applyFill="1" applyBorder="1" applyAlignment="1">
      <alignment horizontal="center"/>
    </xf>
    <xf numFmtId="2" fontId="6" fillId="3" borderId="10" xfId="0" applyNumberFormat="1" applyFont="1" applyFill="1" applyBorder="1" applyAlignment="1">
      <alignment horizontal="right" wrapText="1"/>
    </xf>
    <xf numFmtId="0" fontId="0" fillId="3" borderId="14" xfId="0" applyFill="1" applyBorder="1" applyAlignment="1">
      <alignment horizontal="center"/>
    </xf>
    <xf numFmtId="2" fontId="6" fillId="3" borderId="10" xfId="0" applyNumberFormat="1" applyFont="1" applyFill="1" applyBorder="1" applyAlignment="1">
      <alignment horizontal="right"/>
    </xf>
    <xf numFmtId="0" fontId="16" fillId="3" borderId="14" xfId="0" applyFont="1" applyFill="1" applyBorder="1" applyAlignment="1">
      <alignment horizontal="center"/>
    </xf>
    <xf numFmtId="0" fontId="16" fillId="3" borderId="6" xfId="0" applyFont="1" applyFill="1" applyBorder="1" applyAlignment="1">
      <alignment horizontal="center"/>
    </xf>
    <xf numFmtId="0" fontId="0" fillId="3" borderId="0" xfId="0" applyFill="1"/>
    <xf numFmtId="0" fontId="0" fillId="4" borderId="0" xfId="0" applyFill="1"/>
    <xf numFmtId="17" fontId="5" fillId="0" borderId="5" xfId="0" applyNumberFormat="1" applyFont="1" applyFill="1" applyBorder="1" applyAlignment="1">
      <alignment horizontal="center"/>
    </xf>
    <xf numFmtId="17" fontId="19" fillId="0" borderId="5" xfId="0" applyNumberFormat="1" applyFont="1" applyBorder="1" applyAlignment="1">
      <alignment horizontal="center"/>
    </xf>
    <xf numFmtId="0" fontId="5" fillId="0" borderId="5" xfId="0" applyFont="1" applyBorder="1" applyAlignment="1">
      <alignment horizontal="center"/>
    </xf>
    <xf numFmtId="0" fontId="6" fillId="0" borderId="7" xfId="0" applyFont="1" applyBorder="1" applyAlignment="1">
      <alignment horizontal="center" wrapText="1"/>
    </xf>
    <xf numFmtId="0" fontId="5" fillId="0" borderId="7" xfId="0" applyFont="1" applyBorder="1" applyAlignment="1">
      <alignment horizontal="center" vertical="top" wrapText="1"/>
    </xf>
    <xf numFmtId="0" fontId="0" fillId="0" borderId="0" xfId="0" applyAlignment="1"/>
    <xf numFmtId="0" fontId="0" fillId="0" borderId="12" xfId="0" applyBorder="1" applyAlignment="1">
      <alignment wrapText="1"/>
    </xf>
    <xf numFmtId="2" fontId="0" fillId="0" borderId="12" xfId="0" applyNumberFormat="1" applyBorder="1" applyAlignment="1">
      <alignment wrapText="1"/>
    </xf>
    <xf numFmtId="0" fontId="0" fillId="0" borderId="12" xfId="0" applyBorder="1" applyAlignment="1">
      <alignment wrapText="1"/>
    </xf>
    <xf numFmtId="0" fontId="16" fillId="4" borderId="5" xfId="0" applyFont="1" applyFill="1" applyBorder="1"/>
    <xf numFmtId="0" fontId="3" fillId="0" borderId="0" xfId="0" applyFont="1" applyAlignment="1"/>
    <xf numFmtId="0" fontId="16" fillId="0" borderId="0" xfId="0" applyFont="1" applyAlignment="1"/>
    <xf numFmtId="0" fontId="4" fillId="0" borderId="5" xfId="0" applyFont="1" applyBorder="1" applyAlignment="1"/>
    <xf numFmtId="0" fontId="4" fillId="0" borderId="11" xfId="0" applyFont="1" applyBorder="1" applyAlignment="1"/>
    <xf numFmtId="0" fontId="4" fillId="0" borderId="14" xfId="0" applyFont="1" applyBorder="1" applyAlignment="1"/>
    <xf numFmtId="0" fontId="0" fillId="0" borderId="0" xfId="0" applyAlignment="1"/>
    <xf numFmtId="0" fontId="0" fillId="0" borderId="7" xfId="0" applyFill="1" applyBorder="1"/>
    <xf numFmtId="2" fontId="6" fillId="0" borderId="10" xfId="0" applyNumberFormat="1" applyFont="1" applyFill="1" applyBorder="1"/>
    <xf numFmtId="0" fontId="0" fillId="3" borderId="7" xfId="0" applyFill="1" applyBorder="1"/>
    <xf numFmtId="0" fontId="0" fillId="0" borderId="5" xfId="0" applyFill="1" applyBorder="1"/>
    <xf numFmtId="0" fontId="6" fillId="0" borderId="14" xfId="0" applyFont="1" applyFill="1" applyBorder="1" applyAlignment="1">
      <alignment horizontal="center"/>
    </xf>
    <xf numFmtId="0" fontId="16" fillId="0" borderId="11" xfId="0" applyFont="1" applyFill="1" applyBorder="1"/>
    <xf numFmtId="0" fontId="0" fillId="2" borderId="5" xfId="0" applyFill="1" applyBorder="1"/>
    <xf numFmtId="0" fontId="15" fillId="2" borderId="7" xfId="0" applyFont="1" applyFill="1" applyBorder="1" applyAlignment="1">
      <alignment horizontal="center"/>
    </xf>
    <xf numFmtId="0" fontId="15" fillId="2" borderId="8" xfId="0" applyFont="1" applyFill="1" applyBorder="1" applyAlignment="1">
      <alignment horizontal="center" wrapText="1"/>
    </xf>
    <xf numFmtId="0" fontId="6" fillId="2" borderId="14" xfId="0" applyFont="1" applyFill="1" applyBorder="1" applyAlignment="1">
      <alignment horizontal="center"/>
    </xf>
    <xf numFmtId="0" fontId="0" fillId="4" borderId="5" xfId="0" applyFill="1" applyBorder="1"/>
    <xf numFmtId="0" fontId="15" fillId="4" borderId="7" xfId="0" applyFont="1" applyFill="1" applyBorder="1" applyAlignment="1">
      <alignment horizontal="center"/>
    </xf>
    <xf numFmtId="0" fontId="15" fillId="4" borderId="8" xfId="0" applyFont="1" applyFill="1" applyBorder="1" applyAlignment="1">
      <alignment horizontal="center" wrapText="1"/>
    </xf>
    <xf numFmtId="0" fontId="6" fillId="4" borderId="14" xfId="0" applyFont="1" applyFill="1" applyBorder="1" applyAlignment="1">
      <alignment horizontal="center"/>
    </xf>
    <xf numFmtId="0" fontId="0" fillId="4" borderId="5" xfId="0" applyFont="1" applyFill="1" applyBorder="1"/>
    <xf numFmtId="0" fontId="15" fillId="4" borderId="8" xfId="0" applyFont="1" applyFill="1" applyBorder="1" applyAlignment="1">
      <alignment horizontal="center"/>
    </xf>
    <xf numFmtId="0" fontId="5" fillId="2" borderId="14" xfId="0" applyFont="1" applyFill="1" applyBorder="1"/>
    <xf numFmtId="2" fontId="16" fillId="3" borderId="5" xfId="0" applyNumberFormat="1" applyFont="1" applyFill="1" applyBorder="1"/>
    <xf numFmtId="2" fontId="0" fillId="2" borderId="5" xfId="0" applyNumberFormat="1" applyFill="1" applyBorder="1"/>
    <xf numFmtId="2" fontId="16" fillId="0" borderId="5" xfId="0" applyNumberFormat="1" applyFont="1" applyFill="1" applyBorder="1"/>
    <xf numFmtId="2" fontId="0" fillId="3" borderId="5" xfId="0" applyNumberFormat="1" applyFill="1" applyBorder="1"/>
    <xf numFmtId="2" fontId="0" fillId="0" borderId="7" xfId="0" applyNumberFormat="1" applyFill="1" applyBorder="1"/>
    <xf numFmtId="2" fontId="14" fillId="0" borderId="9" xfId="0" applyNumberFormat="1" applyFont="1" applyBorder="1"/>
    <xf numFmtId="2" fontId="3" fillId="0" borderId="0" xfId="0" applyNumberFormat="1" applyFont="1" applyBorder="1"/>
    <xf numFmtId="0" fontId="16" fillId="2" borderId="5" xfId="0" applyFont="1" applyFill="1" applyBorder="1"/>
    <xf numFmtId="0" fontId="16" fillId="2" borderId="11" xfId="0" applyFont="1" applyFill="1" applyBorder="1" applyAlignment="1">
      <alignment horizontal="center"/>
    </xf>
    <xf numFmtId="2" fontId="0" fillId="4" borderId="5" xfId="0" applyNumberFormat="1" applyFill="1" applyBorder="1"/>
    <xf numFmtId="0" fontId="6" fillId="4" borderId="6" xfId="0" applyFont="1" applyFill="1" applyBorder="1" applyAlignment="1">
      <alignment horizontal="center" vertical="center"/>
    </xf>
    <xf numFmtId="0" fontId="6" fillId="4" borderId="14" xfId="0" applyFont="1" applyFill="1" applyBorder="1" applyAlignment="1">
      <alignment horizontal="center" vertical="center" wrapText="1"/>
    </xf>
    <xf numFmtId="2" fontId="0" fillId="4" borderId="6" xfId="0" applyNumberFormat="1" applyFill="1" applyBorder="1"/>
    <xf numFmtId="0" fontId="0" fillId="2" borderId="7" xfId="0" applyFill="1" applyBorder="1"/>
    <xf numFmtId="0" fontId="3" fillId="0" borderId="0" xfId="0" applyFont="1" applyAlignment="1">
      <alignment horizontal="center"/>
    </xf>
    <xf numFmtId="14" fontId="16" fillId="0" borderId="0" xfId="0" applyNumberFormat="1" applyFont="1" applyAlignment="1">
      <alignment horizontal="center"/>
    </xf>
    <xf numFmtId="0" fontId="4" fillId="0" borderId="7" xfId="0" applyFont="1" applyFill="1" applyBorder="1" applyAlignment="1">
      <alignment horizontal="center"/>
    </xf>
    <xf numFmtId="0" fontId="4" fillId="0" borderId="4" xfId="0" applyFont="1" applyBorder="1" applyAlignment="1">
      <alignment wrapText="1"/>
    </xf>
    <xf numFmtId="0" fontId="4" fillId="0" borderId="5" xfId="0" applyFont="1" applyFill="1" applyBorder="1" applyAlignment="1"/>
    <xf numFmtId="0" fontId="4" fillId="0" borderId="11" xfId="0" applyFont="1" applyFill="1" applyBorder="1" applyAlignment="1"/>
    <xf numFmtId="0" fontId="4" fillId="0" borderId="14" xfId="0" applyFont="1" applyFill="1" applyBorder="1" applyAlignment="1"/>
    <xf numFmtId="0" fontId="12" fillId="0" borderId="12" xfId="0" applyFont="1" applyBorder="1" applyAlignment="1">
      <alignment wrapText="1"/>
    </xf>
    <xf numFmtId="0" fontId="4" fillId="0" borderId="7" xfId="0" applyFont="1" applyFill="1" applyBorder="1"/>
    <xf numFmtId="0" fontId="4" fillId="0" borderId="7" xfId="0" applyFont="1" applyBorder="1" applyAlignment="1">
      <alignment horizontal="center"/>
    </xf>
    <xf numFmtId="0" fontId="4" fillId="0" borderId="1" xfId="0" applyFont="1" applyBorder="1" applyAlignment="1"/>
    <xf numFmtId="0" fontId="15" fillId="0" borderId="8" xfId="0" applyFont="1" applyFill="1" applyBorder="1" applyAlignment="1">
      <alignment horizontal="center" wrapText="1"/>
    </xf>
    <xf numFmtId="10" fontId="6" fillId="0" borderId="7" xfId="0" applyNumberFormat="1" applyFont="1" applyBorder="1"/>
    <xf numFmtId="2" fontId="0" fillId="0" borderId="7" xfId="0" applyNumberFormat="1" applyBorder="1" applyAlignment="1">
      <alignment wrapText="1"/>
    </xf>
    <xf numFmtId="10" fontId="4" fillId="0" borderId="7" xfId="0" applyNumberFormat="1" applyFont="1" applyBorder="1"/>
    <xf numFmtId="0" fontId="0" fillId="0" borderId="7" xfId="0" applyFill="1" applyBorder="1" applyAlignment="1">
      <alignment wrapText="1"/>
    </xf>
    <xf numFmtId="0" fontId="5" fillId="0" borderId="14" xfId="0" applyFont="1" applyFill="1" applyBorder="1"/>
    <xf numFmtId="0" fontId="0" fillId="0" borderId="7" xfId="0" applyBorder="1" applyAlignment="1">
      <alignment wrapText="1"/>
    </xf>
    <xf numFmtId="0" fontId="16" fillId="0" borderId="0" xfId="0" applyFont="1" applyAlignment="1">
      <alignment horizontal="center"/>
    </xf>
    <xf numFmtId="0" fontId="4" fillId="0" borderId="7" xfId="0" applyNumberFormat="1" applyFont="1" applyBorder="1"/>
    <xf numFmtId="0" fontId="0" fillId="0" borderId="5" xfId="0" applyFont="1" applyFill="1" applyBorder="1"/>
    <xf numFmtId="9" fontId="6" fillId="0" borderId="10" xfId="0" applyNumberFormat="1" applyFont="1" applyFill="1" applyBorder="1" applyAlignment="1">
      <alignment horizontal="right" wrapText="1"/>
    </xf>
    <xf numFmtId="0" fontId="6" fillId="0" borderId="7" xfId="0" applyNumberFormat="1" applyFont="1" applyBorder="1"/>
    <xf numFmtId="0" fontId="6" fillId="0" borderId="7" xfId="0" applyFont="1" applyFill="1" applyBorder="1" applyAlignment="1">
      <alignment horizontal="center"/>
    </xf>
    <xf numFmtId="0" fontId="15" fillId="0" borderId="8" xfId="0" applyFont="1" applyFill="1" applyBorder="1" applyAlignment="1">
      <alignment horizontal="center"/>
    </xf>
    <xf numFmtId="2" fontId="6" fillId="0" borderId="7" xfId="0" applyNumberFormat="1" applyFont="1" applyFill="1" applyBorder="1" applyAlignment="1">
      <alignment horizontal="right" wrapText="1"/>
    </xf>
    <xf numFmtId="2" fontId="6" fillId="0" borderId="10" xfId="0" applyNumberFormat="1" applyFont="1" applyFill="1" applyBorder="1" applyAlignment="1">
      <alignment horizontal="right" wrapText="1"/>
    </xf>
    <xf numFmtId="0" fontId="0" fillId="0" borderId="14" xfId="0" applyFill="1" applyBorder="1" applyAlignment="1">
      <alignment horizontal="center"/>
    </xf>
    <xf numFmtId="0" fontId="31" fillId="0" borderId="5" xfId="0" applyFont="1" applyFill="1" applyBorder="1"/>
    <xf numFmtId="0" fontId="6" fillId="0" borderId="8" xfId="0" applyFont="1" applyFill="1" applyBorder="1" applyAlignment="1">
      <alignment horizontal="center" wrapText="1"/>
    </xf>
    <xf numFmtId="9" fontId="4" fillId="0" borderId="8" xfId="0" applyNumberFormat="1" applyFont="1" applyBorder="1"/>
    <xf numFmtId="0" fontId="31" fillId="0" borderId="5" xfId="0" applyFont="1" applyFill="1" applyBorder="1" applyAlignment="1">
      <alignment wrapText="1"/>
    </xf>
    <xf numFmtId="0" fontId="0" fillId="0" borderId="8" xfId="0" applyBorder="1"/>
    <xf numFmtId="0" fontId="6" fillId="0" borderId="8" xfId="0" applyFont="1" applyFill="1" applyBorder="1" applyAlignment="1">
      <alignment horizontal="center"/>
    </xf>
    <xf numFmtId="0" fontId="19" fillId="0" borderId="8" xfId="0" applyFont="1" applyFill="1" applyBorder="1" applyAlignment="1">
      <alignment horizontal="center"/>
    </xf>
    <xf numFmtId="2" fontId="0" fillId="0" borderId="1" xfId="0" applyNumberFormat="1" applyBorder="1" applyAlignment="1">
      <alignment wrapText="1"/>
    </xf>
    <xf numFmtId="0" fontId="6" fillId="0" borderId="14" xfId="0" applyFont="1" applyFill="1" applyBorder="1" applyAlignment="1">
      <alignment horizontal="center" vertical="center" wrapText="1"/>
    </xf>
    <xf numFmtId="2" fontId="3" fillId="0" borderId="9" xfId="0" applyNumberFormat="1" applyFont="1" applyFill="1" applyBorder="1" applyAlignment="1"/>
    <xf numFmtId="0" fontId="4" fillId="0" borderId="8" xfId="0" applyFont="1" applyBorder="1"/>
    <xf numFmtId="0" fontId="16" fillId="0" borderId="14" xfId="0" applyFont="1" applyFill="1" applyBorder="1" applyAlignment="1">
      <alignment horizontal="center"/>
    </xf>
    <xf numFmtId="0" fontId="4" fillId="0" borderId="8" xfId="0" applyFont="1" applyBorder="1" applyAlignment="1">
      <alignment horizontal="center" wrapText="1"/>
    </xf>
    <xf numFmtId="0" fontId="6" fillId="0" borderId="14" xfId="0" applyFont="1" applyFill="1" applyBorder="1" applyAlignment="1">
      <alignment horizontal="center" wrapText="1"/>
    </xf>
    <xf numFmtId="2" fontId="6" fillId="0" borderId="10" xfId="0" applyNumberFormat="1" applyFont="1" applyFill="1" applyBorder="1" applyAlignment="1">
      <alignment wrapText="1"/>
    </xf>
    <xf numFmtId="0" fontId="6" fillId="0" borderId="14" xfId="0" applyFont="1" applyFill="1" applyBorder="1" applyAlignment="1">
      <alignment wrapText="1"/>
    </xf>
    <xf numFmtId="0" fontId="16" fillId="0" borderId="0" xfId="0" applyFont="1" applyFill="1" applyBorder="1"/>
    <xf numFmtId="0" fontId="4" fillId="0" borderId="4" xfId="0" applyFont="1" applyBorder="1" applyAlignment="1">
      <alignment horizontal="center" vertical="center" wrapText="1"/>
    </xf>
    <xf numFmtId="0" fontId="16" fillId="0" borderId="6" xfId="0" applyFont="1" applyFill="1" applyBorder="1" applyAlignment="1">
      <alignment horizontal="center"/>
    </xf>
    <xf numFmtId="0" fontId="4" fillId="0" borderId="2" xfId="0" applyFont="1" applyBorder="1" applyAlignment="1">
      <alignment horizontal="center" wrapText="1"/>
    </xf>
    <xf numFmtId="0" fontId="4" fillId="0" borderId="5" xfId="0" applyFont="1" applyBorder="1" applyAlignment="1">
      <alignment horizontal="center" wrapText="1"/>
    </xf>
    <xf numFmtId="4" fontId="5" fillId="0" borderId="7" xfId="0" applyNumberFormat="1" applyFont="1" applyBorder="1" applyAlignment="1">
      <alignment horizontal="center" wrapText="1"/>
    </xf>
    <xf numFmtId="4" fontId="4" fillId="0" borderId="7" xfId="0" applyNumberFormat="1" applyFont="1" applyBorder="1"/>
    <xf numFmtId="4" fontId="6" fillId="0" borderId="7" xfId="0" applyNumberFormat="1" applyFont="1" applyBorder="1" applyAlignment="1">
      <alignment horizontal="center" wrapText="1"/>
    </xf>
    <xf numFmtId="4" fontId="5" fillId="0" borderId="7" xfId="0" applyNumberFormat="1" applyFont="1" applyBorder="1" applyAlignment="1">
      <alignment horizontal="center" vertical="top" wrapText="1"/>
    </xf>
    <xf numFmtId="4" fontId="6" fillId="0" borderId="7" xfId="0" applyNumberFormat="1" applyFont="1" applyBorder="1"/>
    <xf numFmtId="4" fontId="6" fillId="0" borderId="7" xfId="0" applyNumberFormat="1" applyFont="1" applyFill="1" applyBorder="1"/>
    <xf numFmtId="4" fontId="25" fillId="0" borderId="7" xfId="0" applyNumberFormat="1" applyFont="1" applyFill="1" applyBorder="1" applyAlignment="1">
      <alignment horizontal="right"/>
    </xf>
    <xf numFmtId="4" fontId="6" fillId="0" borderId="7" xfId="0" applyNumberFormat="1" applyFont="1" applyBorder="1" applyAlignment="1">
      <alignment horizontal="right"/>
    </xf>
    <xf numFmtId="4" fontId="4" fillId="0" borderId="7" xfId="0" applyNumberFormat="1" applyFont="1" applyBorder="1" applyAlignment="1">
      <alignment horizontal="center" vertical="top" wrapText="1"/>
    </xf>
    <xf numFmtId="4" fontId="4" fillId="0" borderId="7" xfId="0" applyNumberFormat="1" applyFont="1" applyBorder="1" applyAlignment="1">
      <alignment horizontal="center" wrapText="1"/>
    </xf>
    <xf numFmtId="4" fontId="6" fillId="0" borderId="7" xfId="0" applyNumberFormat="1" applyFont="1" applyFill="1" applyBorder="1" applyAlignment="1">
      <alignment horizontal="right"/>
    </xf>
    <xf numFmtId="4" fontId="6" fillId="0" borderId="7" xfId="0" applyNumberFormat="1" applyFont="1" applyFill="1" applyBorder="1" applyAlignment="1">
      <alignment horizontal="right" vertical="center"/>
    </xf>
    <xf numFmtId="4" fontId="6" fillId="0" borderId="7" xfId="0" applyNumberFormat="1" applyFont="1" applyFill="1" applyBorder="1" applyAlignment="1">
      <alignment vertical="center"/>
    </xf>
    <xf numFmtId="4" fontId="27" fillId="0" borderId="7" xfId="0" applyNumberFormat="1" applyFont="1" applyFill="1" applyBorder="1" applyAlignment="1">
      <alignment horizontal="right"/>
    </xf>
    <xf numFmtId="4" fontId="27" fillId="0" borderId="7" xfId="0" applyNumberFormat="1" applyFont="1" applyFill="1" applyBorder="1"/>
    <xf numFmtId="4" fontId="6" fillId="0" borderId="0" xfId="0" applyNumberFormat="1" applyFont="1" applyBorder="1"/>
    <xf numFmtId="4" fontId="0" fillId="0" borderId="0" xfId="0" applyNumberFormat="1"/>
    <xf numFmtId="0" fontId="22" fillId="0" borderId="12" xfId="0" applyFont="1" applyFill="1" applyBorder="1" applyAlignment="1">
      <alignment horizontal="center"/>
    </xf>
    <xf numFmtId="2" fontId="6" fillId="2" borderId="14" xfId="0" applyNumberFormat="1" applyFont="1" applyFill="1" applyBorder="1" applyAlignment="1">
      <alignment horizontal="right"/>
    </xf>
    <xf numFmtId="2" fontId="6" fillId="0" borderId="8" xfId="0" applyNumberFormat="1" applyFont="1" applyFill="1" applyBorder="1"/>
    <xf numFmtId="2" fontId="4" fillId="0" borderId="8" xfId="0" applyNumberFormat="1" applyFont="1" applyFill="1" applyBorder="1" applyAlignment="1"/>
    <xf numFmtId="2" fontId="6" fillId="0" borderId="8" xfId="0" applyNumberFormat="1" applyFont="1" applyFill="1" applyBorder="1" applyAlignment="1">
      <alignment horizontal="right"/>
    </xf>
    <xf numFmtId="2" fontId="6" fillId="0" borderId="9" xfId="0" applyNumberFormat="1" applyFont="1" applyFill="1" applyBorder="1"/>
    <xf numFmtId="2" fontId="4" fillId="0" borderId="7" xfId="0" applyNumberFormat="1" applyFont="1" applyBorder="1"/>
    <xf numFmtId="0" fontId="16" fillId="0" borderId="12" xfId="0" applyFont="1" applyBorder="1"/>
    <xf numFmtId="0" fontId="4" fillId="0" borderId="12" xfId="0" applyFont="1" applyFill="1" applyBorder="1" applyAlignment="1">
      <alignment horizontal="center"/>
    </xf>
    <xf numFmtId="0" fontId="0" fillId="0" borderId="12" xfId="0" applyBorder="1" applyAlignment="1">
      <alignment wrapText="1"/>
    </xf>
    <xf numFmtId="0" fontId="15" fillId="2" borderId="6" xfId="0" applyFont="1" applyFill="1" applyBorder="1" applyAlignment="1">
      <alignment horizontal="center"/>
    </xf>
    <xf numFmtId="0" fontId="15" fillId="2" borderId="14" xfId="0" applyFont="1" applyFill="1" applyBorder="1" applyAlignment="1">
      <alignment horizontal="center"/>
    </xf>
    <xf numFmtId="0" fontId="6" fillId="4" borderId="7" xfId="0" applyFont="1" applyFill="1" applyBorder="1" applyAlignment="1">
      <alignment horizontal="center"/>
    </xf>
    <xf numFmtId="0" fontId="0" fillId="0" borderId="5" xfId="0" applyFont="1" applyFill="1" applyBorder="1" applyAlignment="1">
      <alignment wrapText="1"/>
    </xf>
    <xf numFmtId="0" fontId="5" fillId="0" borderId="7" xfId="0" applyFont="1" applyFill="1" applyBorder="1" applyAlignment="1">
      <alignment wrapText="1"/>
    </xf>
    <xf numFmtId="2" fontId="6" fillId="2" borderId="10" xfId="0" applyNumberFormat="1" applyFont="1" applyFill="1" applyBorder="1"/>
    <xf numFmtId="0" fontId="16" fillId="0" borderId="5" xfId="0" applyFont="1" applyBorder="1" applyAlignment="1">
      <alignment wrapText="1"/>
    </xf>
    <xf numFmtId="9" fontId="5" fillId="0" borderId="8" xfId="0" applyNumberFormat="1" applyFont="1" applyBorder="1"/>
    <xf numFmtId="0" fontId="31" fillId="4" borderId="5" xfId="0" applyFont="1" applyFill="1" applyBorder="1" applyAlignment="1">
      <alignment wrapText="1"/>
    </xf>
    <xf numFmtId="0" fontId="31" fillId="4" borderId="5" xfId="0" applyFont="1" applyFill="1" applyBorder="1"/>
    <xf numFmtId="0" fontId="15" fillId="2" borderId="7" xfId="0" applyFont="1" applyFill="1" applyBorder="1" applyAlignment="1">
      <alignment horizontal="left" wrapText="1"/>
    </xf>
    <xf numFmtId="0" fontId="15" fillId="2" borderId="7" xfId="0" applyFont="1" applyFill="1" applyBorder="1" applyAlignment="1">
      <alignment horizontal="left"/>
    </xf>
    <xf numFmtId="2" fontId="6" fillId="4" borderId="14" xfId="0" applyNumberFormat="1" applyFont="1" applyFill="1" applyBorder="1" applyAlignment="1">
      <alignment horizontal="right"/>
    </xf>
    <xf numFmtId="2" fontId="6" fillId="4" borderId="10" xfId="0" applyNumberFormat="1" applyFont="1" applyFill="1" applyBorder="1" applyAlignment="1">
      <alignment horizontal="right" wrapText="1"/>
    </xf>
    <xf numFmtId="2" fontId="5" fillId="2" borderId="14" xfId="0" applyNumberFormat="1" applyFont="1" applyFill="1" applyBorder="1"/>
    <xf numFmtId="0" fontId="15" fillId="3" borderId="7" xfId="0" applyFont="1" applyFill="1" applyBorder="1" applyAlignment="1">
      <alignment horizontal="left"/>
    </xf>
    <xf numFmtId="0" fontId="15" fillId="4" borderId="7" xfId="0" applyFont="1" applyFill="1" applyBorder="1" applyAlignment="1">
      <alignment horizontal="left"/>
    </xf>
    <xf numFmtId="0" fontId="0" fillId="2" borderId="7" xfId="0" applyFill="1" applyBorder="1" applyAlignment="1">
      <alignment wrapText="1"/>
    </xf>
    <xf numFmtId="0" fontId="16" fillId="2" borderId="5" xfId="0" applyFont="1" applyFill="1" applyBorder="1" applyAlignment="1">
      <alignment horizontal="center"/>
    </xf>
    <xf numFmtId="0" fontId="16" fillId="4" borderId="5" xfId="0" applyFont="1" applyFill="1" applyBorder="1" applyAlignment="1">
      <alignment horizontal="center"/>
    </xf>
    <xf numFmtId="0" fontId="0" fillId="2" borderId="5" xfId="0" applyFill="1" applyBorder="1" applyAlignment="1">
      <alignment horizontal="center"/>
    </xf>
    <xf numFmtId="0" fontId="6" fillId="3" borderId="6" xfId="0" applyFont="1" applyFill="1" applyBorder="1" applyAlignment="1">
      <alignment horizontal="center" vertical="center"/>
    </xf>
    <xf numFmtId="0" fontId="6" fillId="3" borderId="14" xfId="0" applyFont="1" applyFill="1" applyBorder="1" applyAlignment="1">
      <alignment horizontal="center" vertical="center" wrapText="1"/>
    </xf>
    <xf numFmtId="0" fontId="6" fillId="4" borderId="8" xfId="0" applyFont="1" applyFill="1" applyBorder="1" applyAlignment="1">
      <alignment horizontal="center"/>
    </xf>
    <xf numFmtId="0" fontId="16" fillId="4" borderId="5" xfId="0" applyFont="1" applyFill="1" applyBorder="1" applyAlignment="1">
      <alignment wrapText="1"/>
    </xf>
    <xf numFmtId="0" fontId="16" fillId="2" borderId="5" xfId="0" applyFont="1" applyFill="1" applyBorder="1" applyAlignment="1">
      <alignment wrapText="1"/>
    </xf>
    <xf numFmtId="0" fontId="16" fillId="2" borderId="14" xfId="0" applyFont="1" applyFill="1" applyBorder="1"/>
    <xf numFmtId="2" fontId="0" fillId="2" borderId="6" xfId="0" applyNumberFormat="1" applyFill="1" applyBorder="1"/>
    <xf numFmtId="2" fontId="15" fillId="2" borderId="7" xfId="0" applyNumberFormat="1" applyFont="1" applyFill="1" applyBorder="1" applyAlignment="1">
      <alignment horizontal="right"/>
    </xf>
    <xf numFmtId="2" fontId="0" fillId="4" borderId="0" xfId="0" applyNumberFormat="1" applyFill="1"/>
    <xf numFmtId="0" fontId="0" fillId="4" borderId="5" xfId="0" applyFill="1" applyBorder="1" applyAlignment="1">
      <alignment wrapText="1"/>
    </xf>
    <xf numFmtId="0" fontId="0" fillId="4" borderId="5" xfId="0" applyFill="1" applyBorder="1" applyAlignment="1">
      <alignment horizontal="center"/>
    </xf>
    <xf numFmtId="0" fontId="0" fillId="3" borderId="5" xfId="0" applyFill="1" applyBorder="1" applyAlignment="1">
      <alignment horizontal="center"/>
    </xf>
    <xf numFmtId="0" fontId="26" fillId="0" borderId="12" xfId="0" applyFont="1" applyFill="1" applyBorder="1" applyAlignment="1">
      <alignment horizontal="center" wrapText="1"/>
    </xf>
    <xf numFmtId="0" fontId="31" fillId="0" borderId="13" xfId="0" applyFont="1" applyFill="1" applyBorder="1" applyAlignment="1">
      <alignment wrapText="1"/>
    </xf>
    <xf numFmtId="0" fontId="0" fillId="2" borderId="5" xfId="0" applyFill="1" applyBorder="1" applyAlignment="1">
      <alignment wrapText="1"/>
    </xf>
    <xf numFmtId="0" fontId="0" fillId="0" borderId="12" xfId="0" applyBorder="1" applyAlignment="1">
      <alignment wrapText="1"/>
    </xf>
    <xf numFmtId="0" fontId="16" fillId="0" borderId="5" xfId="0" applyFont="1" applyFill="1" applyBorder="1" applyAlignment="1">
      <alignment wrapText="1"/>
    </xf>
    <xf numFmtId="4" fontId="5" fillId="0" borderId="7" xfId="0" applyNumberFormat="1" applyFont="1" applyBorder="1" applyAlignment="1">
      <alignment horizontal="right" wrapText="1"/>
    </xf>
    <xf numFmtId="4" fontId="5" fillId="0" borderId="7" xfId="0" applyNumberFormat="1" applyFont="1" applyBorder="1" applyAlignment="1">
      <alignment horizontal="right" vertical="center" wrapText="1"/>
    </xf>
    <xf numFmtId="0" fontId="33" fillId="0" borderId="0" xfId="0" applyFont="1"/>
    <xf numFmtId="0" fontId="33" fillId="0" borderId="0" xfId="0" applyFont="1" applyAlignment="1">
      <alignment wrapText="1"/>
    </xf>
    <xf numFmtId="164" fontId="33" fillId="0" borderId="0" xfId="0" applyNumberFormat="1" applyFont="1"/>
    <xf numFmtId="0" fontId="34" fillId="0" borderId="0" xfId="0" applyFont="1" applyAlignment="1"/>
    <xf numFmtId="17" fontId="5" fillId="0" borderId="5" xfId="0" applyNumberFormat="1" applyFont="1" applyBorder="1" applyAlignment="1">
      <alignment horizontal="center"/>
    </xf>
    <xf numFmtId="0" fontId="0" fillId="0" borderId="12" xfId="0" applyBorder="1" applyAlignment="1">
      <alignment wrapText="1"/>
    </xf>
    <xf numFmtId="0" fontId="16" fillId="2" borderId="6" xfId="0" applyFont="1" applyFill="1" applyBorder="1"/>
    <xf numFmtId="0" fontId="6" fillId="2" borderId="14" xfId="0" applyFont="1" applyFill="1" applyBorder="1"/>
    <xf numFmtId="0" fontId="16" fillId="0" borderId="7" xfId="0" applyFont="1" applyFill="1" applyBorder="1" applyAlignment="1">
      <alignment wrapText="1"/>
    </xf>
    <xf numFmtId="0" fontId="0" fillId="5" borderId="7" xfId="0" applyFill="1" applyBorder="1" applyAlignment="1">
      <alignment wrapText="1"/>
    </xf>
    <xf numFmtId="9" fontId="4" fillId="0" borderId="8" xfId="0" applyNumberFormat="1" applyFont="1" applyFill="1" applyBorder="1"/>
    <xf numFmtId="2" fontId="0" fillId="0" borderId="7" xfId="0" applyNumberFormat="1" applyFill="1" applyBorder="1" applyAlignment="1">
      <alignment wrapText="1"/>
    </xf>
    <xf numFmtId="2" fontId="0" fillId="0" borderId="6" xfId="0" applyNumberFormat="1" applyFill="1" applyBorder="1" applyAlignment="1">
      <alignment wrapText="1"/>
    </xf>
    <xf numFmtId="2" fontId="0" fillId="0" borderId="0" xfId="0" applyNumberFormat="1" applyFill="1" applyBorder="1" applyAlignment="1">
      <alignment wrapText="1"/>
    </xf>
    <xf numFmtId="0" fontId="0" fillId="6" borderId="7" xfId="0" applyFill="1" applyBorder="1" applyAlignment="1">
      <alignment wrapText="1"/>
    </xf>
    <xf numFmtId="0" fontId="0" fillId="3" borderId="7" xfId="0" applyFill="1" applyBorder="1" applyAlignment="1">
      <alignment wrapText="1"/>
    </xf>
    <xf numFmtId="0" fontId="4" fillId="0" borderId="7" xfId="0" applyNumberFormat="1" applyFont="1" applyFill="1" applyBorder="1"/>
    <xf numFmtId="0" fontId="6" fillId="0" borderId="7" xfId="0" applyNumberFormat="1" applyFont="1" applyFill="1" applyBorder="1"/>
    <xf numFmtId="2" fontId="0" fillId="6" borderId="7" xfId="0" applyNumberFormat="1" applyFill="1" applyBorder="1" applyAlignment="1">
      <alignment wrapText="1"/>
    </xf>
    <xf numFmtId="2" fontId="0" fillId="3" borderId="7" xfId="0" applyNumberFormat="1" applyFill="1" applyBorder="1" applyAlignment="1">
      <alignment wrapText="1"/>
    </xf>
    <xf numFmtId="10" fontId="4" fillId="0" borderId="7" xfId="0" applyNumberFormat="1" applyFont="1" applyFill="1" applyBorder="1"/>
    <xf numFmtId="0" fontId="16" fillId="0" borderId="7" xfId="0" applyFont="1" applyFill="1" applyBorder="1"/>
    <xf numFmtId="10" fontId="3" fillId="0" borderId="7" xfId="0" applyNumberFormat="1" applyFont="1" applyFill="1" applyBorder="1"/>
    <xf numFmtId="0" fontId="3" fillId="0" borderId="7" xfId="0" applyFont="1" applyFill="1" applyBorder="1"/>
    <xf numFmtId="0" fontId="16" fillId="0" borderId="0" xfId="0" applyFont="1" applyFill="1"/>
    <xf numFmtId="0" fontId="16" fillId="6" borderId="7" xfId="0" applyFont="1" applyFill="1" applyBorder="1" applyAlignment="1">
      <alignment wrapText="1"/>
    </xf>
    <xf numFmtId="2" fontId="0" fillId="5" borderId="7" xfId="0" applyNumberFormat="1" applyFill="1" applyBorder="1" applyAlignment="1">
      <alignment wrapText="1"/>
    </xf>
    <xf numFmtId="4" fontId="5" fillId="5" borderId="7" xfId="0" applyNumberFormat="1" applyFont="1" applyFill="1" applyBorder="1" applyAlignment="1">
      <alignment horizontal="center" wrapText="1"/>
    </xf>
    <xf numFmtId="4" fontId="5" fillId="0" borderId="7" xfId="0" applyNumberFormat="1" applyFont="1" applyBorder="1"/>
    <xf numFmtId="4" fontId="5" fillId="0" borderId="7" xfId="0" applyNumberFormat="1" applyFont="1" applyBorder="1" applyAlignment="1">
      <alignment horizontal="right"/>
    </xf>
    <xf numFmtId="4" fontId="4" fillId="0" borderId="7" xfId="0" applyNumberFormat="1" applyFont="1" applyBorder="1" applyAlignment="1">
      <alignment horizontal="center"/>
    </xf>
    <xf numFmtId="2" fontId="0" fillId="7" borderId="0" xfId="0" applyNumberFormat="1" applyFill="1"/>
    <xf numFmtId="0" fontId="0" fillId="7" borderId="0" xfId="0" applyFill="1" applyAlignment="1">
      <alignment wrapText="1"/>
    </xf>
    <xf numFmtId="2" fontId="6" fillId="4" borderId="7" xfId="0" applyNumberFormat="1" applyFont="1" applyFill="1" applyBorder="1"/>
    <xf numFmtId="2" fontId="33" fillId="0" borderId="0" xfId="0" applyNumberFormat="1" applyFont="1"/>
    <xf numFmtId="164" fontId="35" fillId="0" borderId="0" xfId="0" applyNumberFormat="1" applyFont="1" applyBorder="1"/>
    <xf numFmtId="0" fontId="35" fillId="0" borderId="0" xfId="0" applyFont="1" applyBorder="1" applyAlignment="1">
      <alignment wrapText="1"/>
    </xf>
    <xf numFmtId="0" fontId="26" fillId="0" borderId="12" xfId="0" applyFont="1" applyFill="1" applyBorder="1" applyAlignment="1">
      <alignment horizontal="center" wrapText="1"/>
    </xf>
    <xf numFmtId="0" fontId="3" fillId="0" borderId="0" xfId="0" applyFont="1" applyAlignment="1"/>
    <xf numFmtId="0" fontId="0" fillId="0" borderId="0" xfId="0" applyAlignment="1"/>
    <xf numFmtId="0" fontId="3" fillId="0" borderId="2" xfId="0" applyFont="1" applyBorder="1" applyAlignment="1">
      <alignment horizontal="center" vertical="center"/>
    </xf>
    <xf numFmtId="0" fontId="3" fillId="0" borderId="15" xfId="0" applyFont="1" applyBorder="1" applyAlignment="1">
      <alignment horizontal="center" vertical="center"/>
    </xf>
    <xf numFmtId="0" fontId="3" fillId="0" borderId="1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1" xfId="0" applyFont="1" applyBorder="1" applyAlignment="1">
      <alignment horizontal="center" wrapText="1"/>
    </xf>
    <xf numFmtId="0" fontId="3" fillId="0" borderId="12" xfId="0" applyFont="1" applyBorder="1" applyAlignment="1">
      <alignment horizontal="center" wrapText="1"/>
    </xf>
    <xf numFmtId="0" fontId="4" fillId="0" borderId="2" xfId="0" applyFont="1" applyBorder="1" applyAlignment="1">
      <alignment horizontal="center"/>
    </xf>
    <xf numFmtId="0" fontId="4" fillId="0" borderId="3" xfId="0" applyFont="1" applyBorder="1" applyAlignment="1">
      <alignment horizontal="center"/>
    </xf>
    <xf numFmtId="0" fontId="4" fillId="0" borderId="15" xfId="0" applyFont="1" applyBorder="1" applyAlignment="1">
      <alignment horizontal="center"/>
    </xf>
    <xf numFmtId="0" fontId="4" fillId="0" borderId="1" xfId="0" applyFont="1" applyFill="1" applyBorder="1" applyAlignment="1">
      <alignment horizontal="center"/>
    </xf>
    <xf numFmtId="0" fontId="4" fillId="0" borderId="12" xfId="0" applyFont="1" applyFill="1" applyBorder="1" applyAlignment="1">
      <alignment horizontal="center"/>
    </xf>
    <xf numFmtId="0" fontId="4" fillId="0" borderId="6" xfId="0" applyFont="1" applyFill="1" applyBorder="1" applyAlignment="1">
      <alignment horizontal="center"/>
    </xf>
    <xf numFmtId="0" fontId="4" fillId="0" borderId="1" xfId="0" applyFont="1" applyBorder="1" applyAlignment="1">
      <alignment horizontal="center" vertical="top" wrapText="1"/>
    </xf>
    <xf numFmtId="0" fontId="4" fillId="0" borderId="12" xfId="0" applyFont="1" applyBorder="1" applyAlignment="1">
      <alignment horizontal="center" vertical="top" wrapText="1"/>
    </xf>
    <xf numFmtId="0" fontId="4" fillId="0" borderId="6" xfId="0" applyFont="1" applyBorder="1" applyAlignment="1">
      <alignment horizontal="center" vertical="top" wrapText="1"/>
    </xf>
    <xf numFmtId="0" fontId="16" fillId="0" borderId="0" xfId="0" applyFont="1" applyAlignment="1"/>
    <xf numFmtId="0" fontId="5" fillId="0" borderId="5" xfId="0" applyFont="1" applyBorder="1" applyAlignment="1"/>
    <xf numFmtId="0" fontId="5" fillId="0" borderId="11" xfId="0" applyFont="1" applyBorder="1" applyAlignment="1"/>
    <xf numFmtId="0" fontId="5" fillId="0" borderId="14" xfId="0" applyFont="1" applyBorder="1" applyAlignment="1"/>
    <xf numFmtId="0" fontId="0" fillId="0" borderId="12" xfId="0" applyBorder="1" applyAlignment="1">
      <alignment wrapText="1"/>
    </xf>
    <xf numFmtId="0" fontId="30" fillId="0" borderId="13" xfId="0" applyFont="1" applyBorder="1" applyAlignment="1">
      <alignment horizontal="center" vertical="center"/>
    </xf>
    <xf numFmtId="0" fontId="30" fillId="0" borderId="0" xfId="0" applyFont="1" applyBorder="1" applyAlignment="1">
      <alignment horizontal="center" vertical="center"/>
    </xf>
    <xf numFmtId="0" fontId="4" fillId="0" borderId="9" xfId="0" applyFont="1" applyBorder="1" applyAlignment="1">
      <alignment horizontal="center"/>
    </xf>
    <xf numFmtId="0" fontId="4" fillId="0" borderId="10" xfId="0" applyFont="1" applyBorder="1" applyAlignment="1">
      <alignment horizontal="center"/>
    </xf>
    <xf numFmtId="0" fontId="4" fillId="0" borderId="8" xfId="0" applyFont="1" applyBorder="1" applyAlignment="1">
      <alignment horizontal="center"/>
    </xf>
    <xf numFmtId="0" fontId="4" fillId="0" borderId="7" xfId="0" applyFont="1" applyBorder="1" applyAlignment="1">
      <alignment horizontal="center"/>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Budget</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'5-year figures'!$B$6:$B$11</c:f>
              <c:numCache>
                <c:formatCode>General</c:formatCode>
                <c:ptCount val="6"/>
                <c:pt idx="0">
                  <c:v>2020</c:v>
                </c:pt>
                <c:pt idx="1">
                  <c:v>2019</c:v>
                </c:pt>
                <c:pt idx="2">
                  <c:v>2018</c:v>
                </c:pt>
                <c:pt idx="3">
                  <c:v>2017</c:v>
                </c:pt>
                <c:pt idx="4">
                  <c:v>2016</c:v>
                </c:pt>
                <c:pt idx="5">
                  <c:v>2015</c:v>
                </c:pt>
              </c:numCache>
            </c:numRef>
          </c:cat>
          <c:val>
            <c:numRef>
              <c:f>'5-year figures'!$C$6:$C$11</c:f>
              <c:numCache>
                <c:formatCode>"£"#,##0.00</c:formatCode>
                <c:ptCount val="6"/>
                <c:pt idx="0">
                  <c:v>441500</c:v>
                </c:pt>
                <c:pt idx="1">
                  <c:v>447490</c:v>
                </c:pt>
                <c:pt idx="2">
                  <c:v>410000</c:v>
                </c:pt>
                <c:pt idx="3">
                  <c:v>329000</c:v>
                </c:pt>
                <c:pt idx="4">
                  <c:v>355000</c:v>
                </c:pt>
                <c:pt idx="5">
                  <c:v>274000</c:v>
                </c:pt>
              </c:numCache>
            </c:numRef>
          </c:val>
          <c:smooth val="0"/>
          <c:extLst>
            <c:ext xmlns:c16="http://schemas.microsoft.com/office/drawing/2014/chart" uri="{C3380CC4-5D6E-409C-BE32-E72D297353CC}">
              <c16:uniqueId val="{00000000-4914-584C-B64D-8C1064189491}"/>
            </c:ext>
          </c:extLst>
        </c:ser>
        <c:dLbls>
          <c:showLegendKey val="0"/>
          <c:showVal val="0"/>
          <c:showCatName val="0"/>
          <c:showSerName val="0"/>
          <c:showPercent val="0"/>
          <c:showBubbleSize val="0"/>
        </c:dLbls>
        <c:smooth val="0"/>
        <c:axId val="121445872"/>
        <c:axId val="610597071"/>
      </c:lineChart>
      <c:catAx>
        <c:axId val="121445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0597071"/>
        <c:crosses val="autoZero"/>
        <c:auto val="1"/>
        <c:lblAlgn val="ctr"/>
        <c:lblOffset val="100"/>
        <c:noMultiLvlLbl val="0"/>
      </c:catAx>
      <c:valAx>
        <c:axId val="61059707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21445872"/>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Actual</a:t>
            </a:r>
            <a:r>
              <a:rPr lang="en-GB" baseline="0"/>
              <a:t> Spend</a:t>
            </a:r>
            <a:endParaRPr lang="en-GB"/>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'5-year figures'!$B$6:$B$11</c:f>
              <c:numCache>
                <c:formatCode>General</c:formatCode>
                <c:ptCount val="6"/>
                <c:pt idx="0">
                  <c:v>2020</c:v>
                </c:pt>
                <c:pt idx="1">
                  <c:v>2019</c:v>
                </c:pt>
                <c:pt idx="2">
                  <c:v>2018</c:v>
                </c:pt>
                <c:pt idx="3">
                  <c:v>2017</c:v>
                </c:pt>
                <c:pt idx="4">
                  <c:v>2016</c:v>
                </c:pt>
                <c:pt idx="5">
                  <c:v>2015</c:v>
                </c:pt>
              </c:numCache>
            </c:numRef>
          </c:cat>
          <c:val>
            <c:numRef>
              <c:f>'5-year figures'!$E$6:$E$11</c:f>
              <c:numCache>
                <c:formatCode>"£"#,##0.00</c:formatCode>
                <c:ptCount val="6"/>
                <c:pt idx="1">
                  <c:v>273520</c:v>
                </c:pt>
                <c:pt idx="2">
                  <c:v>287454</c:v>
                </c:pt>
                <c:pt idx="3">
                  <c:v>217717</c:v>
                </c:pt>
                <c:pt idx="4">
                  <c:v>237337</c:v>
                </c:pt>
                <c:pt idx="5">
                  <c:v>188118</c:v>
                </c:pt>
              </c:numCache>
            </c:numRef>
          </c:val>
          <c:smooth val="0"/>
          <c:extLst>
            <c:ext xmlns:c16="http://schemas.microsoft.com/office/drawing/2014/chart" uri="{C3380CC4-5D6E-409C-BE32-E72D297353CC}">
              <c16:uniqueId val="{00000000-DF2E-DA4B-83FC-83B2FBB80A36}"/>
            </c:ext>
          </c:extLst>
        </c:ser>
        <c:dLbls>
          <c:showLegendKey val="0"/>
          <c:showVal val="0"/>
          <c:showCatName val="0"/>
          <c:showSerName val="0"/>
          <c:showPercent val="0"/>
          <c:showBubbleSize val="0"/>
        </c:dLbls>
        <c:smooth val="0"/>
        <c:axId val="663874559"/>
        <c:axId val="663876191"/>
      </c:lineChart>
      <c:catAx>
        <c:axId val="6638745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876191"/>
        <c:crosses val="autoZero"/>
        <c:auto val="1"/>
        <c:lblAlgn val="ctr"/>
        <c:lblOffset val="100"/>
        <c:noMultiLvlLbl val="0"/>
      </c:catAx>
      <c:valAx>
        <c:axId val="663876191"/>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63874559"/>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GB"/>
              <a:t>Underspend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spPr>
            <a:ln w="28575" cap="rnd">
              <a:solidFill>
                <a:schemeClr val="accent1"/>
              </a:solidFill>
              <a:round/>
            </a:ln>
            <a:effectLst/>
          </c:spPr>
          <c:marker>
            <c:symbol val="none"/>
          </c:marker>
          <c:cat>
            <c:numRef>
              <c:f>'5-year figures'!$B$6:$B$11</c:f>
              <c:numCache>
                <c:formatCode>General</c:formatCode>
                <c:ptCount val="6"/>
                <c:pt idx="0">
                  <c:v>2020</c:v>
                </c:pt>
                <c:pt idx="1">
                  <c:v>2019</c:v>
                </c:pt>
                <c:pt idx="2">
                  <c:v>2018</c:v>
                </c:pt>
                <c:pt idx="3">
                  <c:v>2017</c:v>
                </c:pt>
                <c:pt idx="4">
                  <c:v>2016</c:v>
                </c:pt>
                <c:pt idx="5">
                  <c:v>2015</c:v>
                </c:pt>
              </c:numCache>
            </c:numRef>
          </c:cat>
          <c:val>
            <c:numRef>
              <c:f>'5-year figures'!$F$6:$F$11</c:f>
              <c:numCache>
                <c:formatCode>"£"#,##0.00</c:formatCode>
                <c:ptCount val="6"/>
                <c:pt idx="1">
                  <c:v>173970</c:v>
                </c:pt>
                <c:pt idx="2">
                  <c:v>122546</c:v>
                </c:pt>
                <c:pt idx="3">
                  <c:v>111283</c:v>
                </c:pt>
                <c:pt idx="4">
                  <c:v>117663</c:v>
                </c:pt>
                <c:pt idx="5">
                  <c:v>85882</c:v>
                </c:pt>
              </c:numCache>
            </c:numRef>
          </c:val>
          <c:smooth val="0"/>
          <c:extLst>
            <c:ext xmlns:c16="http://schemas.microsoft.com/office/drawing/2014/chart" uri="{C3380CC4-5D6E-409C-BE32-E72D297353CC}">
              <c16:uniqueId val="{00000000-8E24-724C-BA92-DB1F07707BF9}"/>
            </c:ext>
          </c:extLst>
        </c:ser>
        <c:dLbls>
          <c:showLegendKey val="0"/>
          <c:showVal val="0"/>
          <c:showCatName val="0"/>
          <c:showSerName val="0"/>
          <c:showPercent val="0"/>
          <c:showBubbleSize val="0"/>
        </c:dLbls>
        <c:smooth val="0"/>
        <c:axId val="611610143"/>
        <c:axId val="611611775"/>
      </c:lineChart>
      <c:catAx>
        <c:axId val="61161014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11775"/>
        <c:crosses val="autoZero"/>
        <c:auto val="1"/>
        <c:lblAlgn val="ctr"/>
        <c:lblOffset val="100"/>
        <c:noMultiLvlLbl val="0"/>
      </c:catAx>
      <c:valAx>
        <c:axId val="611611775"/>
        <c:scaling>
          <c:orientation val="minMax"/>
        </c:scaling>
        <c:delete val="0"/>
        <c:axPos val="l"/>
        <c:majorGridlines>
          <c:spPr>
            <a:ln w="9525" cap="flat" cmpd="sng" algn="ctr">
              <a:solidFill>
                <a:schemeClr val="tx1">
                  <a:lumMod val="15000"/>
                  <a:lumOff val="85000"/>
                </a:schemeClr>
              </a:solidFill>
              <a:round/>
            </a:ln>
            <a:effectLst/>
          </c:spPr>
        </c:majorGridlines>
        <c:numFmt formatCode="&quot;£&quot;#,##0.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61161014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596900</xdr:colOff>
      <xdr:row>1</xdr:row>
      <xdr:rowOff>76200</xdr:rowOff>
    </xdr:from>
    <xdr:to>
      <xdr:col>9</xdr:col>
      <xdr:colOff>0</xdr:colOff>
      <xdr:row>3</xdr:row>
      <xdr:rowOff>88900</xdr:rowOff>
    </xdr:to>
    <xdr:pic>
      <xdr:nvPicPr>
        <xdr:cNvPr id="5310" name="Picture 1" descr="ukopa blue">
          <a:extLst>
            <a:ext uri="{FF2B5EF4-FFF2-40B4-BE49-F238E27FC236}">
              <a16:creationId xmlns:a16="http://schemas.microsoft.com/office/drawing/2014/main" id="{55EBED61-ADE9-0949-9F72-1050C8AE1C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160000" y="266700"/>
          <a:ext cx="4318000" cy="457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twoCellAnchor>
    <xdr:from>
      <xdr:col>2</xdr:col>
      <xdr:colOff>2819400</xdr:colOff>
      <xdr:row>1</xdr:row>
      <xdr:rowOff>114300</xdr:rowOff>
    </xdr:from>
    <xdr:to>
      <xdr:col>3</xdr:col>
      <xdr:colOff>292100</xdr:colOff>
      <xdr:row>3</xdr:row>
      <xdr:rowOff>127000</xdr:rowOff>
    </xdr:to>
    <xdr:pic>
      <xdr:nvPicPr>
        <xdr:cNvPr id="5311" name="Picture 1" descr="ukopa blue">
          <a:extLst>
            <a:ext uri="{FF2B5EF4-FFF2-40B4-BE49-F238E27FC236}">
              <a16:creationId xmlns:a16="http://schemas.microsoft.com/office/drawing/2014/main" id="{CB1F340B-54DB-6144-BD6D-D65A89CD4CD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27500" y="304800"/>
          <a:ext cx="1651000" cy="457200"/>
        </a:xfrm>
        <a:prstGeom prst="rect">
          <a:avLst/>
        </a:prstGeom>
        <a:noFill/>
        <a:ln>
          <a:noFill/>
        </a:ln>
        <a:extLst>
          <a:ext uri="{909E8E84-426E-40dd-AFC4-6F175D3DCCD1}">
            <a14:hiddenFill xmlns="" xmlns:a14="http://schemas.microsoft.com/office/drawing/2010/main">
              <a:solidFill>
                <a:srgbClr val="FFFFFF"/>
              </a:solidFill>
            </a14:hiddenFill>
          </a:ext>
          <a:ext uri="{91240B29-F687-4f45-9708-019B960494DF}">
            <a14:hiddenLine xmlns=""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323850</xdr:colOff>
      <xdr:row>19</xdr:row>
      <xdr:rowOff>6350</xdr:rowOff>
    </xdr:from>
    <xdr:to>
      <xdr:col>4</xdr:col>
      <xdr:colOff>184150</xdr:colOff>
      <xdr:row>33</xdr:row>
      <xdr:rowOff>6350</xdr:rowOff>
    </xdr:to>
    <xdr:graphicFrame macro="">
      <xdr:nvGraphicFramePr>
        <xdr:cNvPr id="7" name="Chart 6">
          <a:extLst>
            <a:ext uri="{FF2B5EF4-FFF2-40B4-BE49-F238E27FC236}">
              <a16:creationId xmlns:a16="http://schemas.microsoft.com/office/drawing/2014/main" id="{C4B4B850-2559-9A44-9DE4-CF7115AC24C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349250</xdr:colOff>
      <xdr:row>19</xdr:row>
      <xdr:rowOff>31750</xdr:rowOff>
    </xdr:from>
    <xdr:to>
      <xdr:col>7</xdr:col>
      <xdr:colOff>768350</xdr:colOff>
      <xdr:row>33</xdr:row>
      <xdr:rowOff>31750</xdr:rowOff>
    </xdr:to>
    <xdr:graphicFrame macro="">
      <xdr:nvGraphicFramePr>
        <xdr:cNvPr id="8" name="Chart 7">
          <a:extLst>
            <a:ext uri="{FF2B5EF4-FFF2-40B4-BE49-F238E27FC236}">
              <a16:creationId xmlns:a16="http://schemas.microsoft.com/office/drawing/2014/main" id="{8A289335-ED94-E249-B0A2-06B69905D77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908050</xdr:colOff>
      <xdr:row>18</xdr:row>
      <xdr:rowOff>260350</xdr:rowOff>
    </xdr:from>
    <xdr:to>
      <xdr:col>11</xdr:col>
      <xdr:colOff>590550</xdr:colOff>
      <xdr:row>32</xdr:row>
      <xdr:rowOff>184150</xdr:rowOff>
    </xdr:to>
    <xdr:graphicFrame macro="">
      <xdr:nvGraphicFramePr>
        <xdr:cNvPr id="9" name="Chart 8">
          <a:extLst>
            <a:ext uri="{FF2B5EF4-FFF2-40B4-BE49-F238E27FC236}">
              <a16:creationId xmlns:a16="http://schemas.microsoft.com/office/drawing/2014/main" id="{47430412-FBBF-FE44-AA3B-6CCEE870D33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P116"/>
  <sheetViews>
    <sheetView tabSelected="1" topLeftCell="C93" zoomScale="98" zoomScaleNormal="98" zoomScalePageLayoutView="112" workbookViewId="0">
      <selection activeCell="G113" sqref="G113"/>
    </sheetView>
  </sheetViews>
  <sheetFormatPr baseColWidth="10" defaultColWidth="8.83203125" defaultRowHeight="15" outlineLevelRow="1"/>
  <cols>
    <col min="2" max="2" width="8.33203125" customWidth="1"/>
    <col min="3" max="3" width="54.83203125" customWidth="1"/>
    <col min="4" max="4" width="11.33203125" customWidth="1"/>
    <col min="5" max="5" width="16" customWidth="1"/>
    <col min="6" max="6" width="18.5" customWidth="1"/>
    <col min="7" max="7" width="10" customWidth="1"/>
    <col min="8" max="8" width="12" customWidth="1"/>
    <col min="9" max="9" width="10.1640625" customWidth="1"/>
    <col min="10" max="10" width="3.5" customWidth="1"/>
    <col min="11" max="11" width="10.5" customWidth="1"/>
    <col min="12" max="12" width="9.1640625" customWidth="1"/>
    <col min="13" max="13" width="11.83203125" customWidth="1"/>
    <col min="14" max="15" width="10.5" customWidth="1"/>
    <col min="16" max="16" width="42.6640625" bestFit="1" customWidth="1"/>
    <col min="17" max="17" width="15.83203125" customWidth="1"/>
  </cols>
  <sheetData>
    <row r="2" spans="2:16">
      <c r="N2" s="153"/>
      <c r="O2" s="128"/>
    </row>
    <row r="3" spans="2:16" ht="20">
      <c r="J3" s="1"/>
      <c r="M3" s="68" t="s">
        <v>251</v>
      </c>
      <c r="N3" s="59"/>
      <c r="O3" s="59"/>
    </row>
    <row r="4" spans="2:16" ht="18">
      <c r="C4" s="2"/>
      <c r="D4" s="2"/>
      <c r="E4" s="2"/>
      <c r="F4" s="2"/>
      <c r="H4" s="3"/>
      <c r="I4" s="3"/>
      <c r="J4" s="3"/>
      <c r="K4" s="3"/>
      <c r="L4" s="3"/>
      <c r="M4" s="3"/>
      <c r="N4" s="3"/>
      <c r="O4" s="3"/>
    </row>
    <row r="5" spans="2:16">
      <c r="C5" s="4" t="s">
        <v>0</v>
      </c>
      <c r="G5" s="4" t="s">
        <v>38</v>
      </c>
    </row>
    <row r="7" spans="2:16">
      <c r="C7" s="127" t="s">
        <v>326</v>
      </c>
      <c r="G7" s="349" t="s">
        <v>229</v>
      </c>
      <c r="H7" s="350"/>
      <c r="I7" s="350"/>
      <c r="J7" s="92"/>
    </row>
    <row r="8" spans="2:16">
      <c r="K8" s="120" t="s">
        <v>113</v>
      </c>
      <c r="N8" s="120" t="s">
        <v>113</v>
      </c>
    </row>
    <row r="9" spans="2:16">
      <c r="H9" s="349"/>
      <c r="I9" s="368"/>
      <c r="J9" s="368"/>
      <c r="K9" s="368"/>
      <c r="N9" s="120" t="s">
        <v>38</v>
      </c>
    </row>
    <row r="11" spans="2:16" ht="15" customHeight="1">
      <c r="B11" s="351" t="s">
        <v>1</v>
      </c>
      <c r="C11" s="352"/>
      <c r="D11" s="32" t="s">
        <v>2</v>
      </c>
      <c r="E11" s="5" t="s">
        <v>3</v>
      </c>
      <c r="F11" s="6" t="s">
        <v>238</v>
      </c>
      <c r="G11" s="36">
        <v>2020</v>
      </c>
      <c r="H11" s="7" t="s">
        <v>35</v>
      </c>
      <c r="I11" s="357" t="s">
        <v>240</v>
      </c>
      <c r="J11" s="6"/>
      <c r="K11" s="359" t="s">
        <v>221</v>
      </c>
      <c r="L11" s="360"/>
      <c r="M11" s="361"/>
      <c r="N11" s="365" t="s">
        <v>319</v>
      </c>
      <c r="O11" s="365" t="s">
        <v>222</v>
      </c>
      <c r="P11" s="362" t="s">
        <v>46</v>
      </c>
    </row>
    <row r="12" spans="2:16">
      <c r="B12" s="353"/>
      <c r="C12" s="354"/>
      <c r="D12" s="31"/>
      <c r="E12" s="8" t="s">
        <v>4</v>
      </c>
      <c r="F12" s="9" t="s">
        <v>239</v>
      </c>
      <c r="G12" s="10" t="s">
        <v>90</v>
      </c>
      <c r="H12" s="57" t="s">
        <v>5</v>
      </c>
      <c r="I12" s="358"/>
      <c r="J12" s="93"/>
      <c r="K12" s="369" t="s">
        <v>32</v>
      </c>
      <c r="L12" s="370"/>
      <c r="M12" s="371"/>
      <c r="N12" s="366"/>
      <c r="O12" s="366"/>
      <c r="P12" s="363"/>
    </row>
    <row r="13" spans="2:16" ht="40.5" customHeight="1">
      <c r="B13" s="355"/>
      <c r="C13" s="356"/>
      <c r="D13" s="12"/>
      <c r="E13" s="12"/>
      <c r="F13" s="13"/>
      <c r="G13" s="66" t="s">
        <v>6</v>
      </c>
      <c r="H13" s="58" t="s">
        <v>41</v>
      </c>
      <c r="I13" s="14" t="s">
        <v>7</v>
      </c>
      <c r="J13" s="15"/>
      <c r="K13" s="16" t="s">
        <v>10</v>
      </c>
      <c r="L13" s="44" t="s">
        <v>11</v>
      </c>
      <c r="M13" s="16" t="s">
        <v>28</v>
      </c>
      <c r="N13" s="367"/>
      <c r="O13" s="367"/>
      <c r="P13" s="364"/>
    </row>
    <row r="14" spans="2:16">
      <c r="B14" s="94">
        <v>1</v>
      </c>
      <c r="C14" s="90" t="s">
        <v>77</v>
      </c>
      <c r="D14" s="12"/>
      <c r="E14" s="87"/>
      <c r="F14" s="88"/>
      <c r="G14" s="96">
        <f>SUM(G15:G21)</f>
        <v>67.2</v>
      </c>
      <c r="H14" s="89"/>
      <c r="I14" s="16"/>
      <c r="J14" s="15"/>
      <c r="K14" s="125"/>
      <c r="L14" s="151"/>
      <c r="M14" s="125"/>
      <c r="N14" s="152"/>
      <c r="O14" s="253">
        <f>SUM(O15:O20)</f>
        <v>0</v>
      </c>
      <c r="P14" s="79"/>
    </row>
    <row r="15" spans="2:16">
      <c r="B15" s="94">
        <f t="shared" ref="B15:B19" si="0">SUM(B14+0.1)</f>
        <v>1.1000000000000001</v>
      </c>
      <c r="C15" s="129" t="s">
        <v>59</v>
      </c>
      <c r="D15" s="130" t="s">
        <v>35</v>
      </c>
      <c r="E15" s="131" t="s">
        <v>13</v>
      </c>
      <c r="F15" s="132"/>
      <c r="G15" s="133">
        <v>40</v>
      </c>
      <c r="H15" s="148">
        <v>43800</v>
      </c>
      <c r="I15" s="244"/>
      <c r="J15" s="245"/>
      <c r="K15" s="244">
        <f>G15</f>
        <v>40</v>
      </c>
      <c r="L15" s="246">
        <f>4.043+6.093+1.414+2.431+3.826+4.151+1.74+1.21+1.21+4.381+2.133+3.067</f>
        <v>35.698999999999998</v>
      </c>
      <c r="M15" s="244">
        <f t="shared" ref="M15" si="1">L15-K15</f>
        <v>-4.3010000000000019</v>
      </c>
      <c r="N15" s="244">
        <v>35</v>
      </c>
      <c r="O15" s="247"/>
      <c r="P15" s="34"/>
    </row>
    <row r="16" spans="2:16">
      <c r="B16" s="94">
        <f t="shared" si="0"/>
        <v>1.2000000000000002</v>
      </c>
      <c r="C16" s="129" t="s">
        <v>58</v>
      </c>
      <c r="D16" s="130" t="s">
        <v>36</v>
      </c>
      <c r="E16" s="131" t="s">
        <v>14</v>
      </c>
      <c r="F16" s="131"/>
      <c r="G16" s="133">
        <v>4.2</v>
      </c>
      <c r="H16" s="148">
        <v>43800</v>
      </c>
      <c r="I16" s="248" t="s">
        <v>38</v>
      </c>
      <c r="J16" s="249"/>
      <c r="K16" s="244">
        <f t="shared" ref="K16:K21" si="2">G16</f>
        <v>4.2</v>
      </c>
      <c r="L16" s="246">
        <f>1.553+0.129+0.8+0.8+0.8</f>
        <v>4.0819999999999999</v>
      </c>
      <c r="M16" s="244">
        <f>L16-K16</f>
        <v>-0.11800000000000033</v>
      </c>
      <c r="N16" s="244">
        <v>4.2</v>
      </c>
      <c r="O16" s="250"/>
      <c r="P16" s="34"/>
    </row>
    <row r="17" spans="2:16">
      <c r="B17" s="94">
        <f t="shared" si="0"/>
        <v>1.3000000000000003</v>
      </c>
      <c r="C17" s="129" t="s">
        <v>57</v>
      </c>
      <c r="D17" s="130" t="s">
        <v>35</v>
      </c>
      <c r="E17" s="131" t="s">
        <v>13</v>
      </c>
      <c r="F17" s="131"/>
      <c r="G17" s="133">
        <v>10</v>
      </c>
      <c r="H17" s="148">
        <v>43800</v>
      </c>
      <c r="I17" s="248" t="s">
        <v>38</v>
      </c>
      <c r="J17" s="249"/>
      <c r="K17" s="338">
        <f t="shared" si="2"/>
        <v>10</v>
      </c>
      <c r="L17" s="246">
        <f>0.264+6.128</f>
        <v>6.3920000000000003</v>
      </c>
      <c r="M17" s="338">
        <f t="shared" ref="M17:M21" si="3">L17-K17</f>
        <v>-3.6079999999999997</v>
      </c>
      <c r="N17" s="244">
        <v>6.39</v>
      </c>
      <c r="O17" s="247"/>
      <c r="P17" s="34"/>
    </row>
    <row r="18" spans="2:16">
      <c r="B18" s="94">
        <f t="shared" si="0"/>
        <v>1.4000000000000004</v>
      </c>
      <c r="C18" s="129" t="s">
        <v>56</v>
      </c>
      <c r="D18" s="130" t="s">
        <v>35</v>
      </c>
      <c r="E18" s="134" t="s">
        <v>13</v>
      </c>
      <c r="F18" s="132"/>
      <c r="G18" s="135">
        <v>0</v>
      </c>
      <c r="H18" s="148">
        <v>43800</v>
      </c>
      <c r="I18" s="251">
        <v>3.6</v>
      </c>
      <c r="J18" s="248"/>
      <c r="K18" s="244">
        <f>I18</f>
        <v>3.6</v>
      </c>
      <c r="L18" s="246">
        <v>1.3</v>
      </c>
      <c r="M18" s="244">
        <f t="shared" si="3"/>
        <v>-2.2999999999999998</v>
      </c>
      <c r="N18" s="244">
        <v>0</v>
      </c>
      <c r="O18" s="247"/>
      <c r="P18" s="34"/>
    </row>
    <row r="19" spans="2:16">
      <c r="B19" s="94">
        <f t="shared" si="0"/>
        <v>1.5000000000000004</v>
      </c>
      <c r="C19" s="129" t="s">
        <v>55</v>
      </c>
      <c r="D19" s="130" t="s">
        <v>36</v>
      </c>
      <c r="E19" s="131" t="s">
        <v>86</v>
      </c>
      <c r="F19" s="131"/>
      <c r="G19" s="133">
        <v>5</v>
      </c>
      <c r="H19" s="148">
        <v>43800</v>
      </c>
      <c r="I19" s="251" t="s">
        <v>38</v>
      </c>
      <c r="J19" s="245"/>
      <c r="K19" s="338">
        <f t="shared" si="2"/>
        <v>5</v>
      </c>
      <c r="L19" s="246">
        <v>0</v>
      </c>
      <c r="M19" s="338">
        <f t="shared" si="3"/>
        <v>-5</v>
      </c>
      <c r="N19" s="244">
        <v>0</v>
      </c>
      <c r="O19" s="247"/>
      <c r="P19" s="34"/>
    </row>
    <row r="20" spans="2:16">
      <c r="B20" s="94">
        <v>1.7</v>
      </c>
      <c r="C20" s="129" t="s">
        <v>91</v>
      </c>
      <c r="D20" s="130" t="s">
        <v>35</v>
      </c>
      <c r="E20" s="131" t="s">
        <v>13</v>
      </c>
      <c r="F20" s="129"/>
      <c r="G20" s="181">
        <v>2</v>
      </c>
      <c r="H20" s="148">
        <v>43800</v>
      </c>
      <c r="I20" s="251"/>
      <c r="J20" s="249"/>
      <c r="K20" s="244">
        <f t="shared" si="2"/>
        <v>2</v>
      </c>
      <c r="L20" s="246">
        <v>0.67</v>
      </c>
      <c r="M20" s="244">
        <f t="shared" si="3"/>
        <v>-1.33</v>
      </c>
      <c r="N20" s="244">
        <v>0.7</v>
      </c>
      <c r="O20" s="247"/>
      <c r="P20" s="34"/>
    </row>
    <row r="21" spans="2:16">
      <c r="B21" s="94">
        <v>1.8</v>
      </c>
      <c r="C21" s="188" t="s">
        <v>276</v>
      </c>
      <c r="D21" s="317" t="s">
        <v>35</v>
      </c>
      <c r="E21" s="297" t="s">
        <v>277</v>
      </c>
      <c r="F21" s="318" t="s">
        <v>278</v>
      </c>
      <c r="G21" s="276">
        <v>6</v>
      </c>
      <c r="H21" s="315">
        <v>43862</v>
      </c>
      <c r="I21" s="251"/>
      <c r="J21" s="245"/>
      <c r="K21" s="244">
        <f t="shared" si="2"/>
        <v>6</v>
      </c>
      <c r="L21" s="246">
        <f>2.88+2.88</f>
        <v>5.76</v>
      </c>
      <c r="M21" s="244">
        <f t="shared" si="3"/>
        <v>-0.24000000000000021</v>
      </c>
      <c r="N21" s="244">
        <v>6</v>
      </c>
      <c r="O21" s="247"/>
      <c r="P21" s="79"/>
    </row>
    <row r="22" spans="2:16">
      <c r="B22" s="94"/>
      <c r="C22" s="114"/>
      <c r="D22" s="115"/>
      <c r="E22" s="116"/>
      <c r="F22" s="117"/>
      <c r="G22" s="108"/>
      <c r="H22" s="150"/>
      <c r="I22" s="251"/>
      <c r="J22" s="245"/>
      <c r="K22" s="244" t="s">
        <v>38</v>
      </c>
      <c r="L22" s="246" t="s">
        <v>38</v>
      </c>
      <c r="M22" s="244" t="s">
        <v>38</v>
      </c>
      <c r="N22" s="244"/>
      <c r="O22" s="247"/>
      <c r="P22" s="79"/>
    </row>
    <row r="23" spans="2:16">
      <c r="B23" s="94">
        <v>2</v>
      </c>
      <c r="C23" s="118" t="s">
        <v>35</v>
      </c>
      <c r="D23" s="115"/>
      <c r="E23" s="116"/>
      <c r="F23" s="117"/>
      <c r="G23" s="108">
        <f>SUM(G24:G25)</f>
        <v>1</v>
      </c>
      <c r="H23" s="150"/>
      <c r="I23" s="251"/>
      <c r="J23" s="245"/>
      <c r="K23" s="244" t="s">
        <v>38</v>
      </c>
      <c r="L23" s="246" t="s">
        <v>38</v>
      </c>
      <c r="M23" s="244" t="s">
        <v>38</v>
      </c>
      <c r="N23" s="244"/>
      <c r="O23" s="252">
        <f>SUM(O24:O24)</f>
        <v>0</v>
      </c>
      <c r="P23" s="79"/>
    </row>
    <row r="24" spans="2:16">
      <c r="B24" s="94">
        <f>SUM(B23+0.1)</f>
        <v>2.1</v>
      </c>
      <c r="C24" s="129" t="s">
        <v>60</v>
      </c>
      <c r="D24" s="130" t="s">
        <v>36</v>
      </c>
      <c r="E24" s="134" t="s">
        <v>17</v>
      </c>
      <c r="F24" s="131" t="s">
        <v>99</v>
      </c>
      <c r="G24" s="133">
        <v>1</v>
      </c>
      <c r="H24" s="148">
        <v>42767</v>
      </c>
      <c r="I24" s="251" t="s">
        <v>38</v>
      </c>
      <c r="J24" s="249"/>
      <c r="K24" s="244">
        <f>G24</f>
        <v>1</v>
      </c>
      <c r="L24" s="246">
        <f>0.025+0.8+0.025+0.025+0.025</f>
        <v>0.90000000000000013</v>
      </c>
      <c r="M24" s="244">
        <f>L24-K24</f>
        <v>-9.9999999999999867E-2</v>
      </c>
      <c r="N24" s="244">
        <v>1</v>
      </c>
      <c r="O24" s="247"/>
      <c r="P24" s="34"/>
    </row>
    <row r="25" spans="2:16">
      <c r="B25" s="94" t="s">
        <v>38</v>
      </c>
      <c r="C25" s="11"/>
      <c r="D25" s="12"/>
      <c r="E25" s="87"/>
      <c r="F25" s="88"/>
      <c r="G25" s="101"/>
      <c r="H25" s="150"/>
      <c r="I25" s="251"/>
      <c r="J25" s="245"/>
      <c r="K25" s="244" t="s">
        <v>38</v>
      </c>
      <c r="L25" s="246" t="s">
        <v>38</v>
      </c>
      <c r="M25" s="244" t="s">
        <v>38</v>
      </c>
      <c r="N25" s="244"/>
      <c r="O25" s="247"/>
      <c r="P25" s="79"/>
    </row>
    <row r="26" spans="2:16">
      <c r="B26" s="94"/>
      <c r="C26" s="11"/>
      <c r="D26" s="12"/>
      <c r="E26" s="87"/>
      <c r="F26" s="88"/>
      <c r="G26" s="101"/>
      <c r="H26" s="150"/>
      <c r="I26" s="251"/>
      <c r="J26" s="245"/>
      <c r="K26" s="244" t="s">
        <v>38</v>
      </c>
      <c r="L26" s="246" t="s">
        <v>38</v>
      </c>
      <c r="M26" s="244" t="s">
        <v>38</v>
      </c>
      <c r="N26" s="244"/>
      <c r="O26" s="247"/>
      <c r="P26" s="79"/>
    </row>
    <row r="27" spans="2:16">
      <c r="B27" s="94"/>
      <c r="C27" s="11"/>
      <c r="D27" s="12"/>
      <c r="E27" s="87"/>
      <c r="F27" s="88"/>
      <c r="G27" s="101"/>
      <c r="H27" s="150"/>
      <c r="I27" s="251"/>
      <c r="J27" s="245"/>
      <c r="K27" s="244" t="s">
        <v>38</v>
      </c>
      <c r="L27" s="246" t="s">
        <v>38</v>
      </c>
      <c r="M27" s="244" t="s">
        <v>89</v>
      </c>
      <c r="N27" s="244"/>
      <c r="O27" s="247"/>
      <c r="P27" s="79"/>
    </row>
    <row r="28" spans="2:16">
      <c r="B28" s="94">
        <v>3</v>
      </c>
      <c r="C28" s="90" t="s">
        <v>76</v>
      </c>
      <c r="D28" s="12"/>
      <c r="E28" s="87"/>
      <c r="F28" s="88"/>
      <c r="G28" s="101">
        <f>SUM(G29:G34)</f>
        <v>33.4</v>
      </c>
      <c r="H28" s="150"/>
      <c r="I28" s="251"/>
      <c r="J28" s="245"/>
      <c r="K28" s="244" t="s">
        <v>38</v>
      </c>
      <c r="L28" s="246" t="s">
        <v>38</v>
      </c>
      <c r="M28" s="244" t="s">
        <v>38</v>
      </c>
      <c r="N28" s="244"/>
      <c r="O28" s="253">
        <f>SUM(O29:O34)</f>
        <v>0</v>
      </c>
      <c r="P28" s="79"/>
    </row>
    <row r="29" spans="2:16">
      <c r="B29" s="94">
        <f>SUM(B28+0.1)</f>
        <v>3.1</v>
      </c>
      <c r="C29" s="286" t="s">
        <v>135</v>
      </c>
      <c r="D29" s="137" t="s">
        <v>48</v>
      </c>
      <c r="E29" s="138" t="s">
        <v>13</v>
      </c>
      <c r="F29" s="132"/>
      <c r="G29" s="135">
        <f>'PSWG Exp'!F11</f>
        <v>7.8</v>
      </c>
      <c r="H29" s="148">
        <v>43800</v>
      </c>
      <c r="I29" s="251"/>
      <c r="J29" s="248"/>
      <c r="K29" s="244">
        <f t="shared" ref="K29:K34" si="4">G29</f>
        <v>7.8</v>
      </c>
      <c r="L29" s="246">
        <f>'PSWG Exp'!P11</f>
        <v>6.5</v>
      </c>
      <c r="M29" s="244">
        <f t="shared" ref="M29:M34" si="5">L29-K29</f>
        <v>-1.2999999999999998</v>
      </c>
      <c r="N29" s="244">
        <v>6.5</v>
      </c>
      <c r="O29" s="247"/>
      <c r="P29" s="34"/>
    </row>
    <row r="30" spans="2:16">
      <c r="B30" s="94">
        <v>3.3</v>
      </c>
      <c r="C30" s="286" t="s">
        <v>136</v>
      </c>
      <c r="D30" s="137" t="s">
        <v>48</v>
      </c>
      <c r="E30" s="138" t="s">
        <v>13</v>
      </c>
      <c r="F30" s="132"/>
      <c r="G30" s="135">
        <f>'PSWG Exp'!G12</f>
        <v>5.2</v>
      </c>
      <c r="H30" s="148">
        <v>43800</v>
      </c>
      <c r="I30" s="253"/>
      <c r="J30" s="245"/>
      <c r="K30" s="244">
        <f t="shared" si="4"/>
        <v>5.2</v>
      </c>
      <c r="L30" s="246">
        <f>'PSWG Exp'!P12</f>
        <v>5.2</v>
      </c>
      <c r="M30" s="244">
        <f t="shared" si="5"/>
        <v>0</v>
      </c>
      <c r="N30" s="244">
        <v>5.2</v>
      </c>
      <c r="O30" s="247"/>
      <c r="P30" s="34"/>
    </row>
    <row r="31" spans="2:16">
      <c r="B31" s="94">
        <v>3.5</v>
      </c>
      <c r="C31" s="287" t="s">
        <v>93</v>
      </c>
      <c r="D31" s="175" t="s">
        <v>48</v>
      </c>
      <c r="E31" s="175" t="s">
        <v>13</v>
      </c>
      <c r="F31" s="174"/>
      <c r="G31" s="344">
        <f>'PSWG Exp'!F13</f>
        <v>0</v>
      </c>
      <c r="H31" s="148">
        <v>43132</v>
      </c>
      <c r="I31" s="309">
        <f>'PSWG Exp'!G13</f>
        <v>5.2</v>
      </c>
      <c r="J31" s="245"/>
      <c r="K31" s="244">
        <f>G31+I31</f>
        <v>5.2</v>
      </c>
      <c r="L31" s="246">
        <f>'PSWG Exp'!P13</f>
        <v>0</v>
      </c>
      <c r="M31" s="244">
        <f t="shared" ref="M31:M33" si="6">L31-K31</f>
        <v>-5.2</v>
      </c>
      <c r="N31" s="244">
        <v>0</v>
      </c>
      <c r="O31" s="247"/>
      <c r="P31" s="270"/>
    </row>
    <row r="32" spans="2:16">
      <c r="B32" s="94">
        <v>3.6</v>
      </c>
      <c r="C32" s="174" t="s">
        <v>189</v>
      </c>
      <c r="D32" s="175" t="s">
        <v>48</v>
      </c>
      <c r="E32" s="176" t="s">
        <v>92</v>
      </c>
      <c r="F32" s="177"/>
      <c r="G32" s="300">
        <f>'PSWG Exp'!F14</f>
        <v>9</v>
      </c>
      <c r="H32" s="148">
        <v>43132</v>
      </c>
      <c r="I32" s="309">
        <f>'PSWG Exp'!G14</f>
        <v>6</v>
      </c>
      <c r="J32" s="245"/>
      <c r="K32" s="244">
        <f>G32+I32</f>
        <v>15</v>
      </c>
      <c r="L32" s="246">
        <f>'PSWG Exp'!P14</f>
        <v>17.55</v>
      </c>
      <c r="M32" s="244">
        <f t="shared" si="6"/>
        <v>2.5500000000000007</v>
      </c>
      <c r="N32" s="244">
        <v>17.55</v>
      </c>
      <c r="O32" s="247"/>
      <c r="P32" s="270"/>
    </row>
    <row r="33" spans="2:16">
      <c r="B33" s="94">
        <v>3.7</v>
      </c>
      <c r="C33" s="136" t="s">
        <v>94</v>
      </c>
      <c r="D33" s="137" t="s">
        <v>48</v>
      </c>
      <c r="E33" s="138" t="s">
        <v>13</v>
      </c>
      <c r="F33" s="132"/>
      <c r="G33" s="135">
        <f>'PSWG Exp'!F15</f>
        <v>1</v>
      </c>
      <c r="H33" s="148">
        <v>43800</v>
      </c>
      <c r="I33" s="253"/>
      <c r="J33" s="245"/>
      <c r="K33" s="244">
        <f t="shared" si="4"/>
        <v>1</v>
      </c>
      <c r="L33" s="246">
        <f>'PSWG Exp'!M15</f>
        <v>7.0000000000000007E-2</v>
      </c>
      <c r="M33" s="244">
        <f t="shared" si="6"/>
        <v>-0.92999999999999994</v>
      </c>
      <c r="N33" s="244">
        <v>0.93</v>
      </c>
      <c r="O33" s="247"/>
      <c r="P33" s="34"/>
    </row>
    <row r="34" spans="2:16" ht="16">
      <c r="B34" s="94">
        <v>3.8</v>
      </c>
      <c r="C34" s="288" t="s">
        <v>248</v>
      </c>
      <c r="D34" s="171" t="s">
        <v>48</v>
      </c>
      <c r="E34" s="172" t="s">
        <v>13</v>
      </c>
      <c r="F34" s="173"/>
      <c r="G34" s="276">
        <f>'PSWG Exp'!F16</f>
        <v>10.4</v>
      </c>
      <c r="H34" s="148">
        <v>43800</v>
      </c>
      <c r="I34" s="253"/>
      <c r="J34" s="245"/>
      <c r="K34" s="244">
        <f t="shared" si="4"/>
        <v>10.4</v>
      </c>
      <c r="L34" s="246">
        <f>'PSWG Exp'!P16</f>
        <v>0</v>
      </c>
      <c r="M34" s="244">
        <f t="shared" si="5"/>
        <v>-10.4</v>
      </c>
      <c r="N34" s="244">
        <v>0</v>
      </c>
      <c r="O34" s="247"/>
      <c r="P34" s="34"/>
    </row>
    <row r="35" spans="2:16">
      <c r="B35" s="94"/>
      <c r="C35" s="11"/>
      <c r="D35" s="12"/>
      <c r="E35" s="87"/>
      <c r="F35" s="88"/>
      <c r="G35" s="101"/>
      <c r="H35" s="148" t="s">
        <v>38</v>
      </c>
      <c r="I35" s="251"/>
      <c r="J35" s="248"/>
      <c r="K35" s="244" t="s">
        <v>38</v>
      </c>
      <c r="L35" s="246" t="s">
        <v>38</v>
      </c>
      <c r="M35" s="244" t="s">
        <v>38</v>
      </c>
      <c r="N35" s="244"/>
      <c r="O35" s="247"/>
      <c r="P35" s="34"/>
    </row>
    <row r="36" spans="2:16">
      <c r="B36" s="95">
        <v>4</v>
      </c>
      <c r="C36" s="90" t="s">
        <v>63</v>
      </c>
      <c r="D36" s="12"/>
      <c r="E36" s="87"/>
      <c r="F36" s="88"/>
      <c r="G36" s="101">
        <f>SUM(G37:G45)</f>
        <v>29.09</v>
      </c>
      <c r="H36" s="148" t="s">
        <v>38</v>
      </c>
      <c r="I36" s="251"/>
      <c r="J36" s="248"/>
      <c r="K36" s="244" t="s">
        <v>38</v>
      </c>
      <c r="L36" s="246" t="s">
        <v>38</v>
      </c>
      <c r="M36" s="244" t="s">
        <v>38</v>
      </c>
      <c r="N36" s="244"/>
      <c r="O36" s="253">
        <f>SUM(O37:O44)</f>
        <v>0</v>
      </c>
      <c r="P36" s="34"/>
    </row>
    <row r="37" spans="2:16">
      <c r="B37" s="94">
        <v>4.0999999999999996</v>
      </c>
      <c r="C37" s="139" t="s">
        <v>101</v>
      </c>
      <c r="D37" s="137" t="s">
        <v>15</v>
      </c>
      <c r="E37" s="138" t="s">
        <v>13</v>
      </c>
      <c r="F37" s="132"/>
      <c r="G37" s="135">
        <f>'IWG Exp'!F11</f>
        <v>7.8</v>
      </c>
      <c r="H37" s="149">
        <v>43800</v>
      </c>
      <c r="I37" s="254"/>
      <c r="J37" s="248"/>
      <c r="K37" s="244">
        <f t="shared" ref="K37:K45" si="7">G37</f>
        <v>7.8</v>
      </c>
      <c r="L37" s="246">
        <f>'IWG Exp'!P11</f>
        <v>5.3630000000000004</v>
      </c>
      <c r="M37" s="244">
        <f t="shared" ref="M37:M44" si="8">L37-K37</f>
        <v>-2.4369999999999994</v>
      </c>
      <c r="N37" s="244">
        <v>6.5</v>
      </c>
      <c r="O37" s="247"/>
      <c r="P37" s="154"/>
    </row>
    <row r="38" spans="2:16">
      <c r="B38" s="94">
        <v>4.1999999999999993</v>
      </c>
      <c r="C38" s="139" t="s">
        <v>61</v>
      </c>
      <c r="D38" s="130" t="s">
        <v>15</v>
      </c>
      <c r="E38" s="138" t="s">
        <v>13</v>
      </c>
      <c r="F38" s="132"/>
      <c r="G38" s="135">
        <f>'IWG Exp'!F12</f>
        <v>3.25</v>
      </c>
      <c r="H38" s="149">
        <v>43800</v>
      </c>
      <c r="I38" s="254"/>
      <c r="J38" s="245"/>
      <c r="K38" s="244">
        <f t="shared" si="7"/>
        <v>3.25</v>
      </c>
      <c r="L38" s="246">
        <f>'IWG Exp'!P12</f>
        <v>3.25</v>
      </c>
      <c r="M38" s="244">
        <f t="shared" si="8"/>
        <v>0</v>
      </c>
      <c r="N38" s="244">
        <v>3.25</v>
      </c>
      <c r="O38" s="247"/>
      <c r="P38" s="154"/>
    </row>
    <row r="39" spans="2:16">
      <c r="B39" s="94">
        <v>4.2999999999999989</v>
      </c>
      <c r="C39" s="139" t="s">
        <v>62</v>
      </c>
      <c r="D39" s="137" t="s">
        <v>15</v>
      </c>
      <c r="E39" s="140" t="s">
        <v>27</v>
      </c>
      <c r="F39" s="166"/>
      <c r="G39" s="141">
        <f>'IWG Exp'!F13</f>
        <v>1.04</v>
      </c>
      <c r="H39" s="148">
        <v>42401</v>
      </c>
      <c r="I39" s="254"/>
      <c r="J39" s="245"/>
      <c r="K39" s="244">
        <f t="shared" si="7"/>
        <v>1.04</v>
      </c>
      <c r="L39" s="246">
        <f>'IWG Exp'!P13</f>
        <v>2.88</v>
      </c>
      <c r="M39" s="244">
        <f t="shared" si="8"/>
        <v>1.8399999999999999</v>
      </c>
      <c r="N39" s="244">
        <v>1.04</v>
      </c>
      <c r="O39" s="247"/>
      <c r="P39" s="154"/>
    </row>
    <row r="40" spans="2:16">
      <c r="B40" s="94">
        <v>4.7</v>
      </c>
      <c r="C40" s="139" t="s">
        <v>95</v>
      </c>
      <c r="D40" s="137" t="s">
        <v>15</v>
      </c>
      <c r="E40" s="140" t="s">
        <v>13</v>
      </c>
      <c r="F40" s="166"/>
      <c r="G40" s="141">
        <f>'IWG Exp'!F14</f>
        <v>0.5</v>
      </c>
      <c r="H40" s="149">
        <v>43800</v>
      </c>
      <c r="I40" s="254"/>
      <c r="J40" s="245"/>
      <c r="K40" s="244">
        <f t="shared" si="7"/>
        <v>0.5</v>
      </c>
      <c r="L40" s="246">
        <f>'IWG Exp'!P14</f>
        <v>0.34199999999999997</v>
      </c>
      <c r="M40" s="244">
        <f t="shared" si="8"/>
        <v>-0.15800000000000003</v>
      </c>
      <c r="N40" s="244">
        <v>0.4</v>
      </c>
      <c r="O40" s="247"/>
      <c r="P40" s="154"/>
    </row>
    <row r="41" spans="2:16">
      <c r="B41" s="94">
        <v>4.8</v>
      </c>
      <c r="C41" s="178" t="s">
        <v>120</v>
      </c>
      <c r="D41" s="175" t="s">
        <v>15</v>
      </c>
      <c r="E41" s="179" t="s">
        <v>13</v>
      </c>
      <c r="F41" s="273"/>
      <c r="G41" s="284">
        <f>'IWG Exp'!F15</f>
        <v>0</v>
      </c>
      <c r="H41" s="148">
        <v>43132</v>
      </c>
      <c r="I41" s="254">
        <f>'IWG Exp'!G15</f>
        <v>6.5</v>
      </c>
      <c r="J41" s="245"/>
      <c r="K41" s="244">
        <f>G41+I41</f>
        <v>6.5</v>
      </c>
      <c r="L41" s="246">
        <f>'IWG Exp'!P15</f>
        <v>2.33</v>
      </c>
      <c r="M41" s="244">
        <f t="shared" si="8"/>
        <v>-4.17</v>
      </c>
      <c r="N41" s="244">
        <v>3</v>
      </c>
      <c r="O41" s="247"/>
      <c r="P41" s="156"/>
    </row>
    <row r="42" spans="2:16">
      <c r="B42" s="94">
        <v>4.1100000000000003</v>
      </c>
      <c r="C42" s="170" t="str">
        <f>'IWG Exp'!C16</f>
        <v>Scoping, content and formate of UKOPA working safely DVD</v>
      </c>
      <c r="D42" s="271"/>
      <c r="E42" s="272" t="s">
        <v>92</v>
      </c>
      <c r="F42" s="180"/>
      <c r="G42" s="285">
        <f>'IWG Exp'!F16</f>
        <v>3.25</v>
      </c>
      <c r="H42" s="149">
        <v>43800</v>
      </c>
      <c r="I42" s="254"/>
      <c r="J42" s="245"/>
      <c r="K42" s="244">
        <f t="shared" si="7"/>
        <v>3.25</v>
      </c>
      <c r="L42" s="246">
        <f>'IWG Exp'!P16</f>
        <v>0.48699999999999999</v>
      </c>
      <c r="M42" s="244">
        <f t="shared" si="8"/>
        <v>-2.7629999999999999</v>
      </c>
      <c r="N42" s="244">
        <v>1.2</v>
      </c>
      <c r="O42" s="247"/>
      <c r="P42" s="156"/>
    </row>
    <row r="43" spans="2:16">
      <c r="B43" s="94">
        <v>4.12</v>
      </c>
      <c r="C43" s="170" t="s">
        <v>178</v>
      </c>
      <c r="D43" s="271"/>
      <c r="E43" s="272" t="s">
        <v>92</v>
      </c>
      <c r="F43" s="180"/>
      <c r="G43" s="285">
        <f>'IWG Exp'!F17</f>
        <v>10</v>
      </c>
      <c r="H43" s="149">
        <v>43800</v>
      </c>
      <c r="I43" s="254"/>
      <c r="J43" s="245"/>
      <c r="K43" s="244">
        <f t="shared" si="7"/>
        <v>10</v>
      </c>
      <c r="L43" s="246">
        <f>'IWG Exp'!P17</f>
        <v>4.1100000000000003</v>
      </c>
      <c r="M43" s="244">
        <f t="shared" ref="M43" si="9">L43-K43</f>
        <v>-5.89</v>
      </c>
      <c r="N43" s="244">
        <v>8</v>
      </c>
      <c r="O43" s="247"/>
      <c r="P43" s="307"/>
    </row>
    <row r="44" spans="2:16" ht="32">
      <c r="B44" s="94">
        <v>4.13</v>
      </c>
      <c r="C44" s="306" t="s">
        <v>182</v>
      </c>
      <c r="D44" s="271"/>
      <c r="E44" s="272" t="s">
        <v>184</v>
      </c>
      <c r="F44" s="180"/>
      <c r="G44" s="180">
        <f>'IWG Exp'!F18</f>
        <v>3.25</v>
      </c>
      <c r="H44" s="149">
        <v>43800</v>
      </c>
      <c r="I44" s="253"/>
      <c r="J44" s="245"/>
      <c r="K44" s="244">
        <f t="shared" si="7"/>
        <v>3.25</v>
      </c>
      <c r="L44" s="246">
        <f>'IWG Exp'!P18</f>
        <v>0.65</v>
      </c>
      <c r="M44" s="244">
        <f t="shared" si="8"/>
        <v>-2.6</v>
      </c>
      <c r="N44" s="244">
        <v>0.65</v>
      </c>
      <c r="O44" s="247"/>
      <c r="P44" s="79"/>
    </row>
    <row r="45" spans="2:16">
      <c r="B45" s="94">
        <v>4.1399999999999997</v>
      </c>
      <c r="C45" s="170" t="s">
        <v>183</v>
      </c>
      <c r="D45" s="271"/>
      <c r="E45" s="272"/>
      <c r="F45" s="180"/>
      <c r="G45" s="180">
        <f>'IWG Exp'!F19</f>
        <v>0</v>
      </c>
      <c r="H45" s="150"/>
      <c r="I45" s="253"/>
      <c r="J45" s="245"/>
      <c r="K45" s="244">
        <f t="shared" si="7"/>
        <v>0</v>
      </c>
      <c r="L45" s="246">
        <f>'IWG Exp'!P19</f>
        <v>0</v>
      </c>
      <c r="M45" s="244">
        <f>L45-K45</f>
        <v>0</v>
      </c>
      <c r="N45" s="247"/>
      <c r="O45" s="247"/>
      <c r="P45" s="269"/>
    </row>
    <row r="46" spans="2:16">
      <c r="B46" s="94"/>
      <c r="C46" s="11"/>
      <c r="D46" s="12"/>
      <c r="E46" s="87"/>
      <c r="F46" s="88"/>
      <c r="G46" s="101"/>
      <c r="H46" s="150"/>
      <c r="I46" s="253"/>
      <c r="J46" s="245"/>
      <c r="K46" s="244" t="s">
        <v>38</v>
      </c>
      <c r="L46" s="246" t="s">
        <v>38</v>
      </c>
      <c r="M46" s="244" t="s">
        <v>38</v>
      </c>
      <c r="N46" s="247"/>
      <c r="O46" s="247"/>
      <c r="P46" s="79"/>
    </row>
    <row r="47" spans="2:16">
      <c r="B47" s="95">
        <v>5</v>
      </c>
      <c r="C47" s="90" t="s">
        <v>84</v>
      </c>
      <c r="D47" s="12"/>
      <c r="E47" s="87"/>
      <c r="F47" s="88"/>
      <c r="G47" s="101">
        <f>SUM(G48:G55)</f>
        <v>36.799999999999997</v>
      </c>
      <c r="H47" s="150"/>
      <c r="I47" s="253"/>
      <c r="J47" s="245"/>
      <c r="K47" s="244" t="s">
        <v>38</v>
      </c>
      <c r="L47" s="246" t="s">
        <v>38</v>
      </c>
      <c r="M47" s="244" t="s">
        <v>38</v>
      </c>
      <c r="N47" s="247"/>
      <c r="O47" s="253">
        <f>SUM(O48:O54)</f>
        <v>0</v>
      </c>
      <c r="P47" s="79"/>
    </row>
    <row r="48" spans="2:16">
      <c r="B48" s="94">
        <f>SUM(B47+0.1)</f>
        <v>5.0999999999999996</v>
      </c>
      <c r="C48" s="286" t="s">
        <v>143</v>
      </c>
      <c r="D48" s="137" t="s">
        <v>47</v>
      </c>
      <c r="E48" s="138" t="s">
        <v>13</v>
      </c>
      <c r="F48" s="132"/>
      <c r="G48" s="135">
        <f>'EPWG Exp'!F11</f>
        <v>14.3</v>
      </c>
      <c r="H48" s="149">
        <v>43800</v>
      </c>
      <c r="I48" s="251" t="s">
        <v>38</v>
      </c>
      <c r="J48" s="248"/>
      <c r="K48" s="244">
        <f t="shared" ref="K48:K54" si="10">G48</f>
        <v>14.3</v>
      </c>
      <c r="L48" s="246">
        <f>'EPWG Exp'!P11</f>
        <v>9.4270000000000014</v>
      </c>
      <c r="M48" s="244">
        <f t="shared" ref="M48:M54" si="11">L48-K48</f>
        <v>-4.8729999999999993</v>
      </c>
      <c r="N48" s="244">
        <v>12</v>
      </c>
      <c r="O48" s="244"/>
      <c r="P48" s="154"/>
    </row>
    <row r="49" spans="2:16">
      <c r="B49" s="94">
        <f>SUM(B48+0.1)</f>
        <v>5.1999999999999993</v>
      </c>
      <c r="C49" s="286" t="s">
        <v>64</v>
      </c>
      <c r="D49" s="137" t="s">
        <v>47</v>
      </c>
      <c r="E49" s="138" t="s">
        <v>13</v>
      </c>
      <c r="F49" s="132"/>
      <c r="G49" s="135">
        <f>'EPWG Exp'!F12</f>
        <v>6.5</v>
      </c>
      <c r="H49" s="149">
        <v>43800</v>
      </c>
      <c r="I49" s="253"/>
      <c r="J49" s="245"/>
      <c r="K49" s="244">
        <f t="shared" si="10"/>
        <v>6.5</v>
      </c>
      <c r="L49" s="246">
        <f>'EPWG Exp'!P12</f>
        <v>5.3145000000000007</v>
      </c>
      <c r="M49" s="244">
        <f t="shared" si="11"/>
        <v>-1.1854999999999993</v>
      </c>
      <c r="N49" s="244">
        <v>6.5</v>
      </c>
      <c r="O49" s="244"/>
      <c r="P49" s="154"/>
    </row>
    <row r="50" spans="2:16">
      <c r="B50" s="94">
        <v>5.7</v>
      </c>
      <c r="C50" s="286" t="s">
        <v>94</v>
      </c>
      <c r="D50" s="137" t="s">
        <v>47</v>
      </c>
      <c r="E50" s="138" t="s">
        <v>13</v>
      </c>
      <c r="F50" s="132"/>
      <c r="G50" s="135">
        <f>'EPWG Exp'!F13</f>
        <v>1</v>
      </c>
      <c r="H50" s="149">
        <v>43800</v>
      </c>
      <c r="I50" s="248"/>
      <c r="J50" s="248"/>
      <c r="K50" s="244">
        <f t="shared" si="10"/>
        <v>1</v>
      </c>
      <c r="L50" s="246">
        <f>'EPWG Exp'!P13</f>
        <v>0.69700000000000006</v>
      </c>
      <c r="M50" s="244">
        <f t="shared" si="11"/>
        <v>-0.30299999999999994</v>
      </c>
      <c r="N50" s="244">
        <v>0.7</v>
      </c>
      <c r="O50" s="247"/>
      <c r="P50" s="154"/>
    </row>
    <row r="51" spans="2:16" ht="17">
      <c r="B51" s="94">
        <v>5.8</v>
      </c>
      <c r="C51" s="279" t="s">
        <v>145</v>
      </c>
      <c r="D51" s="175" t="s">
        <v>47</v>
      </c>
      <c r="E51" s="176" t="s">
        <v>13</v>
      </c>
      <c r="F51" s="177"/>
      <c r="G51" s="283">
        <f>'EPWG Exp'!F14</f>
        <v>0</v>
      </c>
      <c r="H51" s="148">
        <v>43132</v>
      </c>
      <c r="I51" s="248">
        <f>'EPWG Exp'!G14</f>
        <v>3.25</v>
      </c>
      <c r="J51" s="248"/>
      <c r="K51" s="244">
        <f>G51+I51</f>
        <v>3.25</v>
      </c>
      <c r="L51" s="246">
        <f>'EPWG Exp'!P14</f>
        <v>1.3800000000000001</v>
      </c>
      <c r="M51" s="244">
        <f t="shared" si="11"/>
        <v>-1.8699999999999999</v>
      </c>
      <c r="N51" s="244">
        <v>2</v>
      </c>
      <c r="O51" s="247"/>
      <c r="P51" s="156"/>
    </row>
    <row r="52" spans="2:16" ht="17">
      <c r="B52" s="94">
        <v>5.9</v>
      </c>
      <c r="C52" s="279" t="s">
        <v>201</v>
      </c>
      <c r="D52" s="175" t="s">
        <v>47</v>
      </c>
      <c r="E52" s="176" t="s">
        <v>13</v>
      </c>
      <c r="F52" s="177"/>
      <c r="G52" s="283">
        <f>'EPWG Exp'!F15</f>
        <v>0</v>
      </c>
      <c r="H52" s="148">
        <v>43132</v>
      </c>
      <c r="I52" s="248">
        <f>'EPWG Exp'!G15</f>
        <v>6.5</v>
      </c>
      <c r="J52" s="248"/>
      <c r="K52" s="244">
        <f>G52+I52</f>
        <v>6.5</v>
      </c>
      <c r="L52" s="246">
        <f>'EPWG Exp'!P15</f>
        <v>2.2000000000000002</v>
      </c>
      <c r="M52" s="244">
        <f t="shared" si="11"/>
        <v>-4.3</v>
      </c>
      <c r="N52" s="244">
        <v>2.2000000000000002</v>
      </c>
      <c r="O52" s="247"/>
      <c r="P52" s="156"/>
    </row>
    <row r="53" spans="2:16" ht="16">
      <c r="B53" s="35">
        <v>5.0999999999999996</v>
      </c>
      <c r="C53" s="280" t="s">
        <v>147</v>
      </c>
      <c r="D53" s="175" t="s">
        <v>47</v>
      </c>
      <c r="E53" s="176" t="s">
        <v>13</v>
      </c>
      <c r="F53" s="177"/>
      <c r="G53" s="283">
        <f>'EPWG Exp'!F16</f>
        <v>2</v>
      </c>
      <c r="H53" s="148">
        <v>43132</v>
      </c>
      <c r="I53" s="248">
        <f>'EPWG Exp'!G16</f>
        <v>1</v>
      </c>
      <c r="J53" s="248"/>
      <c r="K53" s="244">
        <f>G53+I53</f>
        <v>3</v>
      </c>
      <c r="L53" s="246">
        <f>'EPWG Exp'!P16</f>
        <v>2.87</v>
      </c>
      <c r="M53" s="244">
        <f t="shared" si="11"/>
        <v>-0.12999999999999989</v>
      </c>
      <c r="N53" s="244">
        <v>2.87</v>
      </c>
      <c r="O53" s="247"/>
      <c r="P53" s="156"/>
    </row>
    <row r="54" spans="2:16" ht="29">
      <c r="B54" s="94">
        <v>5.12</v>
      </c>
      <c r="C54" s="281" t="s">
        <v>203</v>
      </c>
      <c r="D54" s="171" t="s">
        <v>47</v>
      </c>
      <c r="E54" s="171" t="s">
        <v>13</v>
      </c>
      <c r="F54" s="173"/>
      <c r="G54" s="262">
        <f>'EPWG Exp'!F17</f>
        <v>6.5</v>
      </c>
      <c r="H54" s="148"/>
      <c r="I54" s="248"/>
      <c r="J54" s="248"/>
      <c r="K54" s="244">
        <f t="shared" si="10"/>
        <v>6.5</v>
      </c>
      <c r="L54" s="246">
        <f>'EPWG Exp'!P17</f>
        <v>0.02</v>
      </c>
      <c r="M54" s="244">
        <f t="shared" si="11"/>
        <v>-6.48</v>
      </c>
      <c r="N54" s="244">
        <v>1.3</v>
      </c>
      <c r="O54" s="247"/>
      <c r="P54" s="156"/>
    </row>
    <row r="55" spans="2:16">
      <c r="B55" s="94">
        <v>5.13</v>
      </c>
      <c r="C55" s="282" t="s">
        <v>204</v>
      </c>
      <c r="D55" s="171"/>
      <c r="E55" s="171"/>
      <c r="F55" s="171"/>
      <c r="G55" s="299">
        <f>'EPWG Exp'!F18</f>
        <v>6.5</v>
      </c>
      <c r="H55" s="148"/>
      <c r="I55" s="248"/>
      <c r="J55" s="248"/>
      <c r="K55" s="244">
        <f t="shared" ref="K55" si="12">G55</f>
        <v>6.5</v>
      </c>
      <c r="L55" s="246">
        <f>'EPWG Exp'!P18</f>
        <v>0</v>
      </c>
      <c r="M55" s="244">
        <f t="shared" ref="M55" si="13">L55-K55</f>
        <v>-6.5</v>
      </c>
      <c r="N55" s="244">
        <v>0</v>
      </c>
      <c r="O55" s="247"/>
      <c r="P55" s="156"/>
    </row>
    <row r="56" spans="2:16">
      <c r="B56" s="94"/>
      <c r="C56" s="11"/>
      <c r="D56" s="12"/>
      <c r="E56" s="87"/>
      <c r="F56" s="88"/>
      <c r="G56" s="101"/>
      <c r="H56" s="148" t="s">
        <v>38</v>
      </c>
      <c r="I56" s="248"/>
      <c r="J56" s="248"/>
      <c r="K56" s="244" t="s">
        <v>38</v>
      </c>
      <c r="L56" s="246" t="s">
        <v>38</v>
      </c>
      <c r="M56" s="244" t="s">
        <v>38</v>
      </c>
      <c r="N56" s="244"/>
      <c r="O56" s="247"/>
      <c r="P56" s="34"/>
    </row>
    <row r="57" spans="2:16">
      <c r="B57" s="95">
        <v>6</v>
      </c>
      <c r="C57" s="90" t="s">
        <v>75</v>
      </c>
      <c r="D57" s="12"/>
      <c r="E57" s="87"/>
      <c r="F57" s="88"/>
      <c r="G57" s="101">
        <f>SUM(G58:G70)</f>
        <v>63.4</v>
      </c>
      <c r="H57" s="148" t="s">
        <v>38</v>
      </c>
      <c r="I57" s="255"/>
      <c r="J57" s="256"/>
      <c r="K57" s="244"/>
      <c r="L57" s="246"/>
      <c r="M57" s="244" t="s">
        <v>38</v>
      </c>
      <c r="N57" s="244"/>
      <c r="O57" s="253">
        <f>SUM(O58:O71)</f>
        <v>0</v>
      </c>
      <c r="P57" s="91"/>
    </row>
    <row r="58" spans="2:16">
      <c r="B58" s="94">
        <f>SUM(B57+0.1)</f>
        <v>6.1</v>
      </c>
      <c r="C58" s="136" t="s">
        <v>96</v>
      </c>
      <c r="D58" s="137" t="s">
        <v>40</v>
      </c>
      <c r="E58" s="142" t="s">
        <v>13</v>
      </c>
      <c r="F58" s="132"/>
      <c r="G58" s="143">
        <f>'FARWG Exp'!F11</f>
        <v>7.8</v>
      </c>
      <c r="H58" s="149">
        <v>43800</v>
      </c>
      <c r="I58" s="255"/>
      <c r="J58" s="256"/>
      <c r="K58" s="244">
        <f t="shared" ref="K58:K70" si="14">G58</f>
        <v>7.8</v>
      </c>
      <c r="L58" s="246">
        <f>'FARWG Exp'!P11</f>
        <v>6.4190000000000005</v>
      </c>
      <c r="M58" s="244">
        <f t="shared" ref="M58:M63" si="15">L58-K58</f>
        <v>-1.3809999999999993</v>
      </c>
      <c r="N58" s="244">
        <v>6.5</v>
      </c>
      <c r="O58" s="247"/>
      <c r="P58" s="91"/>
    </row>
    <row r="59" spans="2:16">
      <c r="B59" s="94">
        <f>SUM(B58+0.1)</f>
        <v>6.1999999999999993</v>
      </c>
      <c r="C59" s="136" t="s">
        <v>65</v>
      </c>
      <c r="D59" s="137" t="s">
        <v>40</v>
      </c>
      <c r="E59" s="142" t="s">
        <v>13</v>
      </c>
      <c r="F59" s="132"/>
      <c r="G59" s="143">
        <f>'FARWG Exp'!F12</f>
        <v>15.6</v>
      </c>
      <c r="H59" s="149">
        <v>43800</v>
      </c>
      <c r="I59" s="255"/>
      <c r="J59" s="256"/>
      <c r="K59" s="244">
        <f t="shared" si="14"/>
        <v>15.6</v>
      </c>
      <c r="L59" s="246">
        <f>'FARWG Exp'!P12</f>
        <v>12.494</v>
      </c>
      <c r="M59" s="244">
        <f t="shared" si="15"/>
        <v>-3.1059999999999999</v>
      </c>
      <c r="N59" s="244">
        <v>13</v>
      </c>
      <c r="O59" s="247"/>
      <c r="P59" s="91"/>
    </row>
    <row r="60" spans="2:16">
      <c r="B60" s="94">
        <f>SUM(B59+0.1)</f>
        <v>6.2999999999999989</v>
      </c>
      <c r="C60" s="136" t="s">
        <v>66</v>
      </c>
      <c r="D60" s="137" t="s">
        <v>40</v>
      </c>
      <c r="E60" s="131" t="s">
        <v>37</v>
      </c>
      <c r="F60" s="132"/>
      <c r="G60" s="135">
        <f>'FARWG Exp'!F13</f>
        <v>5</v>
      </c>
      <c r="H60" s="149">
        <v>43800</v>
      </c>
      <c r="I60" s="255"/>
      <c r="J60" s="256"/>
      <c r="K60" s="244">
        <f t="shared" si="14"/>
        <v>5</v>
      </c>
      <c r="L60" s="246">
        <f>'FARWG Exp'!P13</f>
        <v>2.25</v>
      </c>
      <c r="M60" s="244">
        <f t="shared" si="15"/>
        <v>-2.75</v>
      </c>
      <c r="N60" s="244">
        <v>2.25</v>
      </c>
      <c r="O60" s="247"/>
      <c r="P60" s="91"/>
    </row>
    <row r="61" spans="2:16">
      <c r="B61" s="94">
        <f>SUM(B60+0.1)</f>
        <v>6.3999999999999986</v>
      </c>
      <c r="C61" s="170" t="s">
        <v>67</v>
      </c>
      <c r="D61" s="171" t="s">
        <v>40</v>
      </c>
      <c r="E61" s="291" t="s">
        <v>42</v>
      </c>
      <c r="F61" s="173"/>
      <c r="G61" s="182">
        <f>'FARWG Exp'!F14</f>
        <v>0.5</v>
      </c>
      <c r="H61" s="148">
        <v>42767</v>
      </c>
      <c r="I61" s="255"/>
      <c r="J61" s="256"/>
      <c r="K61" s="244">
        <f t="shared" si="14"/>
        <v>0.5</v>
      </c>
      <c r="L61" s="246">
        <f>'FARWG Exp'!P14</f>
        <v>0.5</v>
      </c>
      <c r="M61" s="244">
        <f t="shared" si="15"/>
        <v>0</v>
      </c>
      <c r="N61" s="244">
        <v>0</v>
      </c>
      <c r="O61" s="247"/>
      <c r="P61" s="91"/>
    </row>
    <row r="62" spans="2:16">
      <c r="B62" s="94">
        <v>6.08</v>
      </c>
      <c r="C62" s="129" t="s">
        <v>223</v>
      </c>
      <c r="D62" s="136"/>
      <c r="E62" s="142" t="s">
        <v>13</v>
      </c>
      <c r="F62" s="303"/>
      <c r="G62" s="184">
        <f>'FARWG Exp'!F15</f>
        <v>16.25</v>
      </c>
      <c r="H62" s="149">
        <v>43800</v>
      </c>
      <c r="I62" s="254"/>
      <c r="J62" s="245"/>
      <c r="K62" s="244">
        <f t="shared" si="14"/>
        <v>16.25</v>
      </c>
      <c r="L62" s="246">
        <f>'FARWG Exp'!P15</f>
        <v>3.0070000000000001</v>
      </c>
      <c r="M62" s="244">
        <f t="shared" si="15"/>
        <v>-13.243</v>
      </c>
      <c r="N62" s="244">
        <v>16.25</v>
      </c>
      <c r="O62" s="247"/>
      <c r="P62" s="372"/>
    </row>
    <row r="63" spans="2:16" ht="32">
      <c r="B63" s="94">
        <v>6.09</v>
      </c>
      <c r="C63" s="295" t="s">
        <v>150</v>
      </c>
      <c r="D63" s="174"/>
      <c r="E63" s="294" t="s">
        <v>13</v>
      </c>
      <c r="F63" s="302"/>
      <c r="G63" s="190">
        <f>'FARWG Exp'!F16</f>
        <v>3.25</v>
      </c>
      <c r="H63" s="148">
        <v>43132</v>
      </c>
      <c r="I63" s="309">
        <v>13</v>
      </c>
      <c r="J63" s="245"/>
      <c r="K63" s="244">
        <f>G63+I63</f>
        <v>16.25</v>
      </c>
      <c r="L63" s="246">
        <f>'FARWG Exp'!P16</f>
        <v>16.349</v>
      </c>
      <c r="M63" s="244">
        <f t="shared" si="15"/>
        <v>9.9000000000000199E-2</v>
      </c>
      <c r="N63" s="244">
        <v>1</v>
      </c>
      <c r="O63" s="247"/>
      <c r="P63" s="372"/>
    </row>
    <row r="64" spans="2:16" ht="14" customHeight="1">
      <c r="B64" s="35">
        <v>6.1</v>
      </c>
      <c r="C64" s="157" t="s">
        <v>121</v>
      </c>
      <c r="D64" s="273"/>
      <c r="E64" s="294" t="s">
        <v>13</v>
      </c>
      <c r="F64" s="177"/>
      <c r="G64" s="190">
        <f>'FARWG Exp'!F17</f>
        <v>0</v>
      </c>
      <c r="H64" s="148">
        <v>43132</v>
      </c>
      <c r="I64" s="310">
        <f>'FARWG Exp'!G17</f>
        <v>4.2</v>
      </c>
      <c r="J64" s="245"/>
      <c r="K64" s="244">
        <f>G64+I64</f>
        <v>4.2</v>
      </c>
      <c r="L64" s="246">
        <f>'FARWG Exp'!P17</f>
        <v>0</v>
      </c>
      <c r="M64" s="244">
        <f t="shared" ref="M64:M69" si="16">L64-K64</f>
        <v>-4.2</v>
      </c>
      <c r="N64" s="244">
        <v>0</v>
      </c>
      <c r="O64" s="247"/>
      <c r="P64" s="304"/>
    </row>
    <row r="65" spans="2:16" outlineLevel="1">
      <c r="B65" s="35">
        <v>6.14</v>
      </c>
      <c r="C65" s="157" t="s">
        <v>81</v>
      </c>
      <c r="D65" s="191"/>
      <c r="E65" s="192" t="s">
        <v>13</v>
      </c>
      <c r="F65" s="177"/>
      <c r="G65" s="190">
        <f>'FARWG Exp'!F17</f>
        <v>0</v>
      </c>
      <c r="H65" s="148">
        <v>43132</v>
      </c>
      <c r="I65" s="310">
        <f>'FARWG Exp'!G18</f>
        <v>3</v>
      </c>
      <c r="J65" s="245"/>
      <c r="K65" s="244">
        <f>G65+I65</f>
        <v>3</v>
      </c>
      <c r="L65" s="246">
        <f>'FARWG Exp'!P18</f>
        <v>0</v>
      </c>
      <c r="M65" s="244">
        <f t="shared" si="16"/>
        <v>-3</v>
      </c>
      <c r="N65" s="244">
        <v>0</v>
      </c>
      <c r="O65" s="247"/>
      <c r="P65" s="348"/>
    </row>
    <row r="66" spans="2:16" outlineLevel="1">
      <c r="B66" s="94">
        <v>6.16</v>
      </c>
      <c r="C66" s="129" t="s">
        <v>94</v>
      </c>
      <c r="D66" s="292"/>
      <c r="E66" s="293" t="s">
        <v>80</v>
      </c>
      <c r="F66" s="132"/>
      <c r="G66" s="184">
        <f>'FARWG Exp'!F19</f>
        <v>2</v>
      </c>
      <c r="H66" s="149">
        <v>43800</v>
      </c>
      <c r="I66" s="254"/>
      <c r="J66" s="249"/>
      <c r="K66" s="244">
        <f t="shared" si="14"/>
        <v>2</v>
      </c>
      <c r="L66" s="246">
        <f>'FARWG Exp'!P19</f>
        <v>0.71899999999999997</v>
      </c>
      <c r="M66" s="244">
        <f t="shared" si="16"/>
        <v>-1.2810000000000001</v>
      </c>
      <c r="N66" s="244">
        <v>1.3</v>
      </c>
      <c r="O66" s="247"/>
      <c r="P66" s="348"/>
    </row>
    <row r="67" spans="2:16" outlineLevel="1">
      <c r="B67" s="94">
        <v>6.17</v>
      </c>
      <c r="C67" s="188" t="s">
        <v>112</v>
      </c>
      <c r="D67" s="170"/>
      <c r="E67" s="291" t="s">
        <v>13</v>
      </c>
      <c r="F67" s="291"/>
      <c r="G67" s="182">
        <f>'FARWG Exp'!F20</f>
        <v>6.5</v>
      </c>
      <c r="H67" s="149">
        <v>43800</v>
      </c>
      <c r="I67" s="251"/>
      <c r="J67" s="248"/>
      <c r="K67" s="244">
        <f t="shared" si="14"/>
        <v>6.5</v>
      </c>
      <c r="L67" s="246">
        <f>'FARWG Exp'!P20</f>
        <v>0</v>
      </c>
      <c r="M67" s="244">
        <f t="shared" si="16"/>
        <v>-6.5</v>
      </c>
      <c r="N67" s="244">
        <v>0</v>
      </c>
      <c r="O67" s="247"/>
      <c r="P67" s="34"/>
    </row>
    <row r="68" spans="2:16" outlineLevel="1">
      <c r="B68" s="94">
        <v>6.18</v>
      </c>
      <c r="C68" s="157" t="s">
        <v>152</v>
      </c>
      <c r="D68" s="157"/>
      <c r="E68" s="290" t="s">
        <v>13</v>
      </c>
      <c r="F68" s="177"/>
      <c r="G68" s="190">
        <f>'FARWG Exp'!F21</f>
        <v>0</v>
      </c>
      <c r="H68" s="148">
        <v>43132</v>
      </c>
      <c r="I68" s="254">
        <f>'FARWG Exp'!G21</f>
        <v>13</v>
      </c>
      <c r="J68" s="258"/>
      <c r="K68" s="244">
        <f>G68+I68</f>
        <v>13</v>
      </c>
      <c r="L68" s="246">
        <f>'FARWG Exp'!P21</f>
        <v>0</v>
      </c>
      <c r="M68" s="244">
        <f t="shared" si="16"/>
        <v>-13</v>
      </c>
      <c r="N68" s="244">
        <v>0</v>
      </c>
      <c r="O68" s="247"/>
      <c r="P68" s="78"/>
    </row>
    <row r="69" spans="2:16" outlineLevel="1">
      <c r="B69" s="94">
        <v>6.19</v>
      </c>
      <c r="C69" s="188" t="s">
        <v>212</v>
      </c>
      <c r="D69" s="188"/>
      <c r="E69" s="289" t="s">
        <v>13</v>
      </c>
      <c r="F69" s="173"/>
      <c r="G69" s="182">
        <f>'FARWG Exp'!F22</f>
        <v>3.25</v>
      </c>
      <c r="H69" s="149">
        <v>43800</v>
      </c>
      <c r="I69" s="257"/>
      <c r="J69" s="258"/>
      <c r="K69" s="244">
        <f t="shared" si="14"/>
        <v>3.25</v>
      </c>
      <c r="L69" s="246">
        <f>'FARWG Exp'!P22</f>
        <v>4.9190000000000005</v>
      </c>
      <c r="M69" s="244">
        <f t="shared" si="16"/>
        <v>1.6690000000000005</v>
      </c>
      <c r="N69" s="244">
        <v>5</v>
      </c>
      <c r="O69" s="247"/>
      <c r="P69" s="78"/>
    </row>
    <row r="70" spans="2:16" outlineLevel="1">
      <c r="B70" s="35">
        <v>6.2</v>
      </c>
      <c r="C70" s="188" t="s">
        <v>213</v>
      </c>
      <c r="D70" s="188"/>
      <c r="E70" s="189" t="s">
        <v>13</v>
      </c>
      <c r="F70" s="173"/>
      <c r="G70" s="182">
        <f>'FARWG Exp'!F23</f>
        <v>3.25</v>
      </c>
      <c r="H70" s="149">
        <v>43800</v>
      </c>
      <c r="I70" s="257"/>
      <c r="J70" s="258"/>
      <c r="K70" s="244">
        <f t="shared" si="14"/>
        <v>3.25</v>
      </c>
      <c r="L70" s="246">
        <f>'FARWG Exp'!P23</f>
        <v>0.93399999999999994</v>
      </c>
      <c r="M70" s="244">
        <f t="shared" ref="M70" si="17">L70-K70</f>
        <v>-2.3159999999999998</v>
      </c>
      <c r="N70" s="244">
        <v>1.5</v>
      </c>
      <c r="O70" s="247"/>
      <c r="P70" s="78"/>
    </row>
    <row r="71" spans="2:16" outlineLevel="1">
      <c r="B71" s="35"/>
      <c r="C71" s="114"/>
      <c r="D71" s="114"/>
      <c r="E71" s="169"/>
      <c r="F71" s="168"/>
      <c r="G71" s="183"/>
      <c r="H71" s="148"/>
      <c r="I71" s="257"/>
      <c r="J71" s="258"/>
      <c r="K71" s="244"/>
      <c r="L71" s="246"/>
      <c r="M71" s="244"/>
      <c r="N71" s="244"/>
      <c r="O71" s="247"/>
      <c r="P71" s="78"/>
    </row>
    <row r="72" spans="2:16" outlineLevel="1">
      <c r="B72" s="35"/>
      <c r="C72" s="114"/>
      <c r="D72" s="114"/>
      <c r="E72" s="169"/>
      <c r="F72" s="168"/>
      <c r="G72" s="183"/>
      <c r="H72" s="148"/>
      <c r="I72" s="257"/>
      <c r="J72" s="258"/>
      <c r="K72" s="244"/>
      <c r="L72" s="246"/>
      <c r="M72" s="244"/>
      <c r="N72" s="244"/>
      <c r="O72" s="247"/>
      <c r="P72" s="78"/>
    </row>
    <row r="73" spans="2:16" outlineLevel="1">
      <c r="B73" s="94">
        <v>7</v>
      </c>
      <c r="C73" s="107" t="s">
        <v>74</v>
      </c>
      <c r="D73" s="105"/>
      <c r="E73" s="106"/>
      <c r="F73" s="104"/>
      <c r="G73" s="108">
        <f>SUM(G74:G86)</f>
        <v>73.3</v>
      </c>
      <c r="H73" s="150"/>
      <c r="I73" s="253"/>
      <c r="J73" s="245"/>
      <c r="K73" s="244"/>
      <c r="L73" s="246"/>
      <c r="M73" s="244" t="s">
        <v>38</v>
      </c>
      <c r="N73" s="244"/>
      <c r="O73" s="252">
        <f>SUM(O74:O85)</f>
        <v>0</v>
      </c>
      <c r="P73" s="79"/>
    </row>
    <row r="74" spans="2:16" outlineLevel="1">
      <c r="B74" s="94">
        <f>SUM(B73+0.1)</f>
        <v>7.1</v>
      </c>
      <c r="C74" s="129" t="s">
        <v>97</v>
      </c>
      <c r="D74" s="130" t="s">
        <v>39</v>
      </c>
      <c r="E74" s="131" t="s">
        <v>13</v>
      </c>
      <c r="F74" s="132"/>
      <c r="G74" s="135">
        <f>'PIWG Exp'!F11</f>
        <v>9.75</v>
      </c>
      <c r="H74" s="149">
        <v>43800</v>
      </c>
      <c r="I74" s="253"/>
      <c r="J74" s="245"/>
      <c r="K74" s="244">
        <f>G74</f>
        <v>9.75</v>
      </c>
      <c r="L74" s="246">
        <f>'PIWG Exp'!P11</f>
        <v>5.5250000000000004</v>
      </c>
      <c r="M74" s="244">
        <f>L74-K74</f>
        <v>-4.2249999999999996</v>
      </c>
      <c r="N74" s="244">
        <v>6.5</v>
      </c>
      <c r="O74" s="247"/>
      <c r="P74" s="78"/>
    </row>
    <row r="75" spans="2:16" outlineLevel="1">
      <c r="B75" s="94">
        <f t="shared" ref="B75" si="18">SUM(B74+0.1)</f>
        <v>7.1999999999999993</v>
      </c>
      <c r="C75" s="129" t="s">
        <v>68</v>
      </c>
      <c r="D75" s="130" t="s">
        <v>39</v>
      </c>
      <c r="E75" s="144" t="s">
        <v>13</v>
      </c>
      <c r="F75" s="132"/>
      <c r="G75" s="135">
        <f>'PIWG Exp'!F12</f>
        <v>27.3</v>
      </c>
      <c r="H75" s="149">
        <v>43800</v>
      </c>
      <c r="I75" s="253"/>
      <c r="J75" s="245"/>
      <c r="K75" s="244">
        <f>G75</f>
        <v>27.3</v>
      </c>
      <c r="L75" s="246">
        <f>'PIWG Exp'!P12</f>
        <v>25.279000000000003</v>
      </c>
      <c r="M75" s="244">
        <f>L75-K75</f>
        <v>-2.0209999999999972</v>
      </c>
      <c r="N75" s="244">
        <v>25</v>
      </c>
      <c r="O75" s="247"/>
      <c r="P75" s="78"/>
    </row>
    <row r="76" spans="2:16" outlineLevel="1">
      <c r="B76" s="94">
        <f>SUM(B75+0.1)</f>
        <v>7.2999999999999989</v>
      </c>
      <c r="C76" s="129" t="s">
        <v>69</v>
      </c>
      <c r="D76" s="130" t="s">
        <v>39</v>
      </c>
      <c r="E76" s="134" t="s">
        <v>87</v>
      </c>
      <c r="F76" s="131"/>
      <c r="G76" s="135">
        <f>'PIWG Exp'!F13</f>
        <v>3.25</v>
      </c>
      <c r="H76" s="149">
        <v>43800</v>
      </c>
      <c r="I76" s="253"/>
      <c r="J76" s="245"/>
      <c r="K76" s="244">
        <f>G76</f>
        <v>3.25</v>
      </c>
      <c r="L76" s="246">
        <f>'PIWG Exp'!P13</f>
        <v>1.45</v>
      </c>
      <c r="M76" s="244">
        <f t="shared" ref="M76" si="19">L76-K76</f>
        <v>-1.8</v>
      </c>
      <c r="N76" s="244">
        <v>1.45</v>
      </c>
      <c r="O76" s="247"/>
      <c r="P76" s="91"/>
    </row>
    <row r="77" spans="2:16" ht="32">
      <c r="B77" s="94">
        <v>7.9</v>
      </c>
      <c r="C77" s="157" t="s">
        <v>70</v>
      </c>
      <c r="D77" s="174" t="s">
        <v>39</v>
      </c>
      <c r="E77" s="301" t="s">
        <v>225</v>
      </c>
      <c r="F77" s="174"/>
      <c r="G77" s="193">
        <v>0</v>
      </c>
      <c r="H77" s="148">
        <v>42767</v>
      </c>
      <c r="I77" s="309">
        <f>'PIWG Exp'!G14</f>
        <v>20</v>
      </c>
      <c r="J77" s="245"/>
      <c r="K77" s="244">
        <f>I77</f>
        <v>20</v>
      </c>
      <c r="L77" s="246">
        <f>'PIWG Exp'!P14</f>
        <v>2.8250000000000002</v>
      </c>
      <c r="M77" s="244">
        <f>L77-K77</f>
        <v>-17.175000000000001</v>
      </c>
      <c r="N77" s="244">
        <v>3</v>
      </c>
      <c r="O77" s="247"/>
      <c r="P77" s="91"/>
    </row>
    <row r="78" spans="2:16">
      <c r="B78" s="35">
        <v>7.13</v>
      </c>
      <c r="C78" s="157" t="s">
        <v>71</v>
      </c>
      <c r="D78" s="174" t="s">
        <v>39</v>
      </c>
      <c r="E78" s="174" t="s">
        <v>226</v>
      </c>
      <c r="F78" s="174"/>
      <c r="G78" s="193">
        <f>'PIWG Exp'!F15</f>
        <v>10</v>
      </c>
      <c r="H78" s="148" t="s">
        <v>38</v>
      </c>
      <c r="I78" s="309">
        <f>'PIWG Exp'!G15</f>
        <v>15</v>
      </c>
      <c r="J78" s="245"/>
      <c r="K78" s="244">
        <f>I78+G78</f>
        <v>25</v>
      </c>
      <c r="L78" s="246">
        <f>'PIWG Exp'!P15</f>
        <v>15</v>
      </c>
      <c r="M78" s="244">
        <f t="shared" ref="M78:M86" si="20">L78-K78</f>
        <v>-10</v>
      </c>
      <c r="N78" s="244">
        <v>15</v>
      </c>
      <c r="O78" s="247"/>
      <c r="P78" s="91"/>
    </row>
    <row r="79" spans="2:16">
      <c r="B79" s="35">
        <f>SUM(B78+0.01)</f>
        <v>7.14</v>
      </c>
      <c r="C79" s="188" t="s">
        <v>72</v>
      </c>
      <c r="D79" s="170" t="s">
        <v>39</v>
      </c>
      <c r="E79" s="170" t="s">
        <v>13</v>
      </c>
      <c r="F79" s="170"/>
      <c r="G79" s="298">
        <f>'PIWG Exp'!G16</f>
        <v>1</v>
      </c>
      <c r="H79" s="149">
        <v>43800</v>
      </c>
      <c r="I79" s="253"/>
      <c r="J79" s="245"/>
      <c r="K79" s="244">
        <f t="shared" ref="K79:K82" si="21">G79</f>
        <v>1</v>
      </c>
      <c r="L79" s="246">
        <f>'PIWG Exp'!P16</f>
        <v>0</v>
      </c>
      <c r="M79" s="244">
        <f t="shared" si="20"/>
        <v>-1</v>
      </c>
      <c r="N79" s="244">
        <v>0</v>
      </c>
      <c r="O79" s="247"/>
      <c r="P79" s="91"/>
    </row>
    <row r="80" spans="2:16">
      <c r="B80" s="35">
        <f>SUM(B79+0.01)</f>
        <v>7.1499999999999995</v>
      </c>
      <c r="C80" s="188" t="s">
        <v>85</v>
      </c>
      <c r="D80" s="170" t="s">
        <v>39</v>
      </c>
      <c r="E80" s="170" t="s">
        <v>86</v>
      </c>
      <c r="F80" s="170"/>
      <c r="G80" s="298">
        <f>'PIWG Exp'!F17</f>
        <v>20</v>
      </c>
      <c r="H80" s="149">
        <v>43800</v>
      </c>
      <c r="I80" s="253"/>
      <c r="J80" s="245"/>
      <c r="K80" s="244">
        <f t="shared" si="21"/>
        <v>20</v>
      </c>
      <c r="L80" s="246">
        <f>'PIWG Exp'!P17</f>
        <v>1.95</v>
      </c>
      <c r="M80" s="244">
        <f t="shared" si="20"/>
        <v>-18.05</v>
      </c>
      <c r="N80" s="244">
        <v>2</v>
      </c>
      <c r="O80" s="247"/>
      <c r="P80" s="91"/>
    </row>
    <row r="81" spans="1:16">
      <c r="B81" s="35">
        <v>7.18</v>
      </c>
      <c r="C81" s="157" t="s">
        <v>98</v>
      </c>
      <c r="D81" s="174" t="s">
        <v>39</v>
      </c>
      <c r="E81" s="174" t="s">
        <v>159</v>
      </c>
      <c r="F81" s="174"/>
      <c r="G81" s="193">
        <f>'PIWG Exp'!F18</f>
        <v>0</v>
      </c>
      <c r="H81" s="148">
        <v>42767</v>
      </c>
      <c r="I81" s="309">
        <f>'PIWG Exp'!G18</f>
        <v>12</v>
      </c>
      <c r="J81" s="256"/>
      <c r="K81" s="244">
        <f>G81+I81</f>
        <v>12</v>
      </c>
      <c r="L81" s="246">
        <f>'PIWG Exp'!P18</f>
        <v>12.2</v>
      </c>
      <c r="M81" s="244">
        <f t="shared" si="20"/>
        <v>0.19999999999999929</v>
      </c>
      <c r="N81" s="244">
        <v>12.2</v>
      </c>
      <c r="O81" s="247"/>
      <c r="P81" s="91"/>
    </row>
    <row r="82" spans="1:16">
      <c r="B82" s="94">
        <v>7.22</v>
      </c>
      <c r="C82" s="129" t="s">
        <v>94</v>
      </c>
      <c r="D82" s="130" t="s">
        <v>39</v>
      </c>
      <c r="E82" s="134"/>
      <c r="F82" s="131"/>
      <c r="G82" s="135">
        <f>'PIWG Exp'!F19</f>
        <v>2</v>
      </c>
      <c r="H82" s="149">
        <v>43800</v>
      </c>
      <c r="I82" s="251"/>
      <c r="J82" s="249"/>
      <c r="K82" s="244">
        <f t="shared" si="21"/>
        <v>2</v>
      </c>
      <c r="L82" s="246">
        <f>'PIWG Exp'!P19</f>
        <v>0.435</v>
      </c>
      <c r="M82" s="244">
        <f t="shared" si="20"/>
        <v>-1.5649999999999999</v>
      </c>
      <c r="N82" s="244">
        <v>0.5</v>
      </c>
      <c r="O82" s="247"/>
      <c r="P82" s="34"/>
    </row>
    <row r="83" spans="1:16" ht="48">
      <c r="B83" s="185">
        <v>7.24</v>
      </c>
      <c r="C83" s="295" t="s">
        <v>161</v>
      </c>
      <c r="D83" s="174" t="s">
        <v>39</v>
      </c>
      <c r="E83" s="174" t="s">
        <v>162</v>
      </c>
      <c r="F83" s="174"/>
      <c r="G83" s="193">
        <f>'PIWG Exp'!F20</f>
        <v>0</v>
      </c>
      <c r="H83" s="148">
        <v>43132</v>
      </c>
      <c r="I83" s="251">
        <f>'PIWG Exp'!G20</f>
        <v>13</v>
      </c>
      <c r="J83" s="248"/>
      <c r="K83" s="244">
        <f>G83+I83</f>
        <v>13</v>
      </c>
      <c r="L83" s="246">
        <f>'PIWG Exp'!P20</f>
        <v>0</v>
      </c>
      <c r="M83" s="244">
        <f t="shared" si="20"/>
        <v>-13</v>
      </c>
      <c r="N83" s="244">
        <v>0</v>
      </c>
      <c r="O83" s="247"/>
      <c r="P83" s="155"/>
    </row>
    <row r="84" spans="1:16" ht="32">
      <c r="B84" s="94">
        <v>7.25</v>
      </c>
      <c r="C84" s="296" t="s">
        <v>216</v>
      </c>
      <c r="D84" s="170" t="s">
        <v>39</v>
      </c>
      <c r="E84" s="297" t="s">
        <v>227</v>
      </c>
      <c r="F84" s="170"/>
      <c r="G84" s="182">
        <f>'PIWG Exp'!G21</f>
        <v>0</v>
      </c>
      <c r="H84" s="149">
        <v>43800</v>
      </c>
      <c r="I84" s="244"/>
      <c r="J84" s="259"/>
      <c r="K84" s="244">
        <f t="shared" ref="K84:K92" si="22">G84</f>
        <v>0</v>
      </c>
      <c r="L84" s="246">
        <f>'PIWG Exp'!P21</f>
        <v>0</v>
      </c>
      <c r="M84" s="244">
        <f t="shared" si="20"/>
        <v>0</v>
      </c>
      <c r="N84" s="244">
        <v>0</v>
      </c>
      <c r="O84" s="247"/>
      <c r="P84" s="123"/>
    </row>
    <row r="85" spans="1:16" ht="16">
      <c r="B85" s="94">
        <v>7.26</v>
      </c>
      <c r="C85" s="296" t="s">
        <v>247</v>
      </c>
      <c r="D85" s="194" t="s">
        <v>39</v>
      </c>
      <c r="E85" s="297" t="s">
        <v>227</v>
      </c>
      <c r="F85" s="194"/>
      <c r="G85" s="182">
        <f>'PIWG Exp'!G22</f>
        <v>0</v>
      </c>
      <c r="H85" s="149">
        <v>43800</v>
      </c>
      <c r="I85" s="244"/>
      <c r="J85" s="259"/>
      <c r="K85" s="244">
        <f t="shared" si="22"/>
        <v>0</v>
      </c>
      <c r="L85" s="246">
        <f>'PIWG Exp'!P22</f>
        <v>0</v>
      </c>
      <c r="M85" s="244">
        <f t="shared" si="20"/>
        <v>0</v>
      </c>
      <c r="N85" s="244">
        <v>0</v>
      </c>
      <c r="O85" s="247"/>
      <c r="P85" s="123"/>
    </row>
    <row r="86" spans="1:16" ht="16">
      <c r="B86" s="94">
        <v>7.27</v>
      </c>
      <c r="C86" s="296" t="s">
        <v>217</v>
      </c>
      <c r="D86" s="194" t="s">
        <v>39</v>
      </c>
      <c r="E86" s="297" t="s">
        <v>227</v>
      </c>
      <c r="F86" s="194"/>
      <c r="G86" s="182">
        <f>'PIWG Exp'!G23</f>
        <v>0</v>
      </c>
      <c r="H86" s="149">
        <v>43800</v>
      </c>
      <c r="I86" s="244"/>
      <c r="J86" s="259"/>
      <c r="K86" s="244">
        <f t="shared" si="22"/>
        <v>0</v>
      </c>
      <c r="L86" s="246">
        <f>'PIWG Exp'!P23</f>
        <v>0</v>
      </c>
      <c r="M86" s="244">
        <f t="shared" si="20"/>
        <v>0</v>
      </c>
      <c r="N86" s="244">
        <v>0</v>
      </c>
      <c r="O86" s="247"/>
      <c r="P86" s="123"/>
    </row>
    <row r="87" spans="1:16">
      <c r="B87" s="94"/>
      <c r="C87" s="103" t="s">
        <v>38</v>
      </c>
      <c r="D87" s="105"/>
      <c r="E87" s="106"/>
      <c r="F87" s="104"/>
      <c r="G87" s="108"/>
      <c r="I87" s="260"/>
      <c r="J87" s="260"/>
      <c r="K87" s="244" t="s">
        <v>38</v>
      </c>
      <c r="L87" s="246" t="s">
        <v>38</v>
      </c>
      <c r="M87" s="244" t="s">
        <v>38</v>
      </c>
      <c r="N87" s="244"/>
      <c r="O87" s="247"/>
      <c r="P87" s="123"/>
    </row>
    <row r="88" spans="1:16">
      <c r="B88" s="94">
        <v>8</v>
      </c>
      <c r="C88" s="107" t="s">
        <v>73</v>
      </c>
      <c r="D88" s="105"/>
      <c r="E88" s="106"/>
      <c r="F88" s="104"/>
      <c r="G88" s="108">
        <f>SUM(G89:G92)</f>
        <v>14.8</v>
      </c>
      <c r="I88" s="260"/>
      <c r="J88" s="260"/>
      <c r="K88" s="244" t="s">
        <v>38</v>
      </c>
      <c r="L88" s="246" t="s">
        <v>38</v>
      </c>
      <c r="M88" s="246" t="s">
        <v>38</v>
      </c>
      <c r="N88" s="244"/>
      <c r="O88" s="253"/>
      <c r="P88" s="123"/>
    </row>
    <row r="89" spans="1:16">
      <c r="B89" s="94">
        <f>SUM(B88+0.1)</f>
        <v>8.1</v>
      </c>
      <c r="C89" s="129" t="s">
        <v>102</v>
      </c>
      <c r="D89" s="145" t="s">
        <v>78</v>
      </c>
      <c r="E89" s="144" t="s">
        <v>13</v>
      </c>
      <c r="F89" s="132" t="s">
        <v>100</v>
      </c>
      <c r="G89" s="135">
        <f>'Gov Exp'!G11</f>
        <v>3.9000000000000004</v>
      </c>
      <c r="H89" s="149">
        <v>43800</v>
      </c>
      <c r="I89" s="244"/>
      <c r="J89" s="260"/>
      <c r="K89" s="244">
        <f t="shared" si="22"/>
        <v>3.9000000000000004</v>
      </c>
      <c r="L89" s="246">
        <f>'Gov Exp'!Q11</f>
        <v>3.0070000000000001</v>
      </c>
      <c r="M89" s="246">
        <f>L89-K89</f>
        <v>-0.89300000000000024</v>
      </c>
      <c r="N89" s="244">
        <v>3.9</v>
      </c>
      <c r="O89" s="247"/>
      <c r="P89" s="91"/>
    </row>
    <row r="90" spans="1:16">
      <c r="B90" s="94">
        <f>SUM(B89+0.1)</f>
        <v>8.1999999999999993</v>
      </c>
      <c r="C90" s="129" t="s">
        <v>53</v>
      </c>
      <c r="D90" s="145" t="s">
        <v>78</v>
      </c>
      <c r="E90" s="144" t="s">
        <v>79</v>
      </c>
      <c r="F90" s="132" t="s">
        <v>100</v>
      </c>
      <c r="G90" s="135">
        <f>'Gov Exp'!G12</f>
        <v>6.5</v>
      </c>
      <c r="H90" s="149">
        <v>43800</v>
      </c>
      <c r="I90" s="244"/>
      <c r="J90" s="260"/>
      <c r="K90" s="244">
        <f t="shared" si="22"/>
        <v>6.5</v>
      </c>
      <c r="L90" s="246">
        <f>'Gov Exp'!Q12</f>
        <v>9.5950000000000006</v>
      </c>
      <c r="M90" s="246">
        <f>L90-K90</f>
        <v>3.0950000000000006</v>
      </c>
      <c r="N90" s="244">
        <v>10</v>
      </c>
      <c r="O90" s="247"/>
      <c r="P90" s="91"/>
    </row>
    <row r="91" spans="1:16">
      <c r="B91" s="94">
        <f>SUM(B90+0.1)</f>
        <v>8.2999999999999989</v>
      </c>
      <c r="C91" s="129" t="s">
        <v>54</v>
      </c>
      <c r="D91" s="145" t="s">
        <v>78</v>
      </c>
      <c r="E91" s="144" t="s">
        <v>13</v>
      </c>
      <c r="F91" s="132" t="s">
        <v>100</v>
      </c>
      <c r="G91" s="135">
        <f>'Gov Exp'!G13</f>
        <v>3.9000000000000004</v>
      </c>
      <c r="H91" s="149">
        <v>43800</v>
      </c>
      <c r="I91" s="244"/>
      <c r="J91" s="260"/>
      <c r="K91" s="244">
        <f t="shared" si="22"/>
        <v>3.9000000000000004</v>
      </c>
      <c r="L91" s="246">
        <f>'Gov Exp'!Q13</f>
        <v>3.9000000000000004</v>
      </c>
      <c r="M91" s="246">
        <f>L91-K91</f>
        <v>0</v>
      </c>
      <c r="N91" s="244">
        <v>3.9</v>
      </c>
      <c r="O91" s="247"/>
      <c r="P91" s="78"/>
    </row>
    <row r="92" spans="1:16">
      <c r="B92" s="94">
        <f>SUM(B91+0.1)</f>
        <v>8.3999999999999986</v>
      </c>
      <c r="C92" s="129" t="s">
        <v>94</v>
      </c>
      <c r="D92" s="145" t="s">
        <v>78</v>
      </c>
      <c r="E92" s="144" t="s">
        <v>13</v>
      </c>
      <c r="F92" s="132" t="s">
        <v>100</v>
      </c>
      <c r="G92" s="135">
        <f>'Gov Exp'!G14</f>
        <v>0.5</v>
      </c>
      <c r="H92" s="149">
        <v>43800</v>
      </c>
      <c r="I92" s="244"/>
      <c r="J92" s="260"/>
      <c r="K92" s="244">
        <f t="shared" si="22"/>
        <v>0.5</v>
      </c>
      <c r="L92" s="246">
        <f>'Gov Exp'!Q14</f>
        <v>0</v>
      </c>
      <c r="M92" s="246">
        <f>L92-K92</f>
        <v>-0.5</v>
      </c>
      <c r="N92" s="244">
        <v>0</v>
      </c>
      <c r="O92" s="247"/>
      <c r="P92" s="78"/>
    </row>
    <row r="93" spans="1:16">
      <c r="B93" s="94"/>
      <c r="C93" s="11"/>
      <c r="D93" s="12"/>
      <c r="E93" s="87"/>
      <c r="F93" s="88"/>
      <c r="G93" s="96"/>
      <c r="I93" s="260"/>
      <c r="J93" s="260"/>
      <c r="K93" s="260"/>
      <c r="L93" s="260"/>
      <c r="M93" s="260"/>
      <c r="N93" s="260"/>
      <c r="O93" s="260">
        <f>SUM(O14+O23+O28+O36+O47+O57+O73+O88)</f>
        <v>0</v>
      </c>
    </row>
    <row r="94" spans="1:16">
      <c r="B94" s="94"/>
      <c r="C94" s="11"/>
      <c r="D94" s="12"/>
      <c r="E94" s="87"/>
      <c r="F94" s="88"/>
      <c r="G94" s="96"/>
    </row>
    <row r="95" spans="1:16" s="109" customFormat="1" ht="30" customHeight="1">
      <c r="A95"/>
      <c r="B95" s="94"/>
      <c r="C95" s="80"/>
      <c r="D95" s="81"/>
      <c r="E95" s="82"/>
      <c r="F95" s="83"/>
      <c r="G95" s="100">
        <f>G14+G23+G28+G36+G47+G57+G73+G88</f>
        <v>318.99</v>
      </c>
      <c r="H95" s="102"/>
      <c r="I95" s="124">
        <f>SUM(I15:I92)</f>
        <v>125.25</v>
      </c>
      <c r="J95" s="19"/>
      <c r="K95" s="124">
        <f>SUM(K15:K92)</f>
        <v>444.24</v>
      </c>
      <c r="L95" s="124">
        <f>SUM(L15:L92)</f>
        <v>254.20049999999995</v>
      </c>
      <c r="M95" s="124">
        <f>SUM(M15:M92)</f>
        <v>-190.03950000000003</v>
      </c>
      <c r="N95" s="124">
        <f>SUM(N15:N92)</f>
        <v>265.33000000000004</v>
      </c>
      <c r="O95" s="76"/>
      <c r="P95" s="78"/>
    </row>
    <row r="96" spans="1:16">
      <c r="B96" s="94"/>
      <c r="C96" s="30"/>
      <c r="D96" s="40"/>
      <c r="E96" s="41"/>
      <c r="F96" s="42"/>
      <c r="G96" s="20"/>
    </row>
    <row r="97" spans="1:12">
      <c r="B97" s="94"/>
      <c r="C97" s="21" t="s">
        <v>270</v>
      </c>
      <c r="D97" s="24"/>
      <c r="E97" s="17"/>
      <c r="F97" s="17"/>
      <c r="G97" s="27">
        <f>G95</f>
        <v>318.99</v>
      </c>
      <c r="I97" s="27"/>
    </row>
    <row r="98" spans="1:12">
      <c r="B98" s="94"/>
      <c r="C98" s="21" t="s">
        <v>228</v>
      </c>
      <c r="D98" s="37"/>
      <c r="E98" s="45"/>
      <c r="F98" s="97"/>
      <c r="G98" s="100">
        <v>332.42</v>
      </c>
      <c r="L98" s="27"/>
    </row>
    <row r="99" spans="1:12">
      <c r="B99" s="94"/>
      <c r="C99" s="22" t="s">
        <v>169</v>
      </c>
      <c r="D99" s="25"/>
      <c r="E99" s="25"/>
      <c r="F99" s="23"/>
      <c r="G99" s="100">
        <f>'Income B''down'!K44/1000</f>
        <v>248.994</v>
      </c>
    </row>
    <row r="100" spans="1:12">
      <c r="B100" s="94"/>
      <c r="C100" s="22" t="s">
        <v>170</v>
      </c>
      <c r="D100" s="25"/>
      <c r="E100" s="25"/>
      <c r="F100" s="23"/>
      <c r="G100" s="186">
        <f>'Income B''down'!L44/1000</f>
        <v>240.69399999999999</v>
      </c>
    </row>
    <row r="101" spans="1:12">
      <c r="B101" s="94"/>
      <c r="C101" s="22" t="s">
        <v>329</v>
      </c>
      <c r="D101" s="26"/>
      <c r="E101" s="26"/>
      <c r="F101" s="23"/>
      <c r="G101" s="100">
        <v>368.01</v>
      </c>
    </row>
    <row r="102" spans="1:12">
      <c r="D102" s="29"/>
      <c r="E102" s="29"/>
      <c r="F102" s="28"/>
      <c r="G102" s="187"/>
    </row>
    <row r="103" spans="1:12">
      <c r="B103" s="120" t="s">
        <v>83</v>
      </c>
      <c r="C103" s="38"/>
      <c r="D103" s="39"/>
      <c r="E103" s="61"/>
    </row>
    <row r="104" spans="1:12" ht="48">
      <c r="A104" s="109"/>
      <c r="B104" s="146"/>
      <c r="C104" s="121" t="s">
        <v>82</v>
      </c>
      <c r="D104" s="122">
        <f>G92+G91+G90+G89+G82+G76+G75+G74+G66+G62+G60+G59+G58+G50+G49+G48+G40+G39+G38+G37+G33+G30+G29+G24+G19+G18+G16+G15+G17+G20</f>
        <v>214.33999999999997</v>
      </c>
      <c r="E104" s="110"/>
      <c r="F104" s="123" t="s">
        <v>256</v>
      </c>
      <c r="G104" s="27">
        <f>K95</f>
        <v>444.24</v>
      </c>
      <c r="H104" s="74"/>
      <c r="K104" s="123" t="s">
        <v>316</v>
      </c>
      <c r="L104" s="27">
        <f>'PSWG Exp'!S20+'IWG Exp'!S24+'EPWG Exp'!S22+'FARWG Exp'!S28+'PIWG Exp'!S27+'Gov Exp'!T18</f>
        <v>262.16300000000001</v>
      </c>
    </row>
    <row r="105" spans="1:12" ht="48">
      <c r="A105" s="109"/>
      <c r="B105" s="119"/>
      <c r="C105" s="99" t="s">
        <v>321</v>
      </c>
      <c r="D105" s="113">
        <f>G86+G85+G84+G80+G79+G70+G69+G67+G61+G55+G54+G45+G44+G43+G42+G34+G78+G63+G53+G32+G21</f>
        <v>104.65</v>
      </c>
      <c r="E105" s="111"/>
      <c r="F105" s="123" t="s">
        <v>279</v>
      </c>
      <c r="G105" s="27">
        <f>G98+G99</f>
        <v>581.41399999999999</v>
      </c>
      <c r="K105" s="123" t="s">
        <v>317</v>
      </c>
      <c r="L105" s="27">
        <f>'PSWG Exp'!S18+'IWG Exp'!S22+'EPWG Exp'!S20+'FARWG Exp'!S26+'PIWG Exp'!S25+'Gov Exp'!T16</f>
        <v>39.729999999999997</v>
      </c>
    </row>
    <row r="106" spans="1:12" ht="48">
      <c r="A106" s="109"/>
      <c r="B106" s="147"/>
      <c r="C106" s="99" t="s">
        <v>274</v>
      </c>
      <c r="D106" s="113">
        <f>I95</f>
        <v>125.25</v>
      </c>
      <c r="E106" s="109"/>
      <c r="F106" s="123" t="s">
        <v>273</v>
      </c>
      <c r="G106" s="27">
        <v>424.47800000000001</v>
      </c>
      <c r="K106" s="123" t="s">
        <v>318</v>
      </c>
      <c r="L106" s="27">
        <f>'PSWG Exp'!S19+'IWG Exp'!S23+'EPWG Exp'!S21+'FARWG Exp'!S27+'PIWG Exp'!S26+'Gov Exp'!T17</f>
        <v>70.546999999999997</v>
      </c>
    </row>
    <row r="107" spans="1:12">
      <c r="A107" s="109"/>
      <c r="B107" s="109"/>
      <c r="C107" s="99" t="s">
        <v>24</v>
      </c>
      <c r="D107" s="113">
        <f>D104+D105+D106</f>
        <v>444.24</v>
      </c>
      <c r="E107" s="109"/>
    </row>
    <row r="108" spans="1:12" ht="32">
      <c r="A108" s="109"/>
      <c r="B108" s="109"/>
      <c r="C108" s="99"/>
      <c r="D108" s="109"/>
      <c r="E108" s="109"/>
      <c r="F108" s="343" t="s">
        <v>327</v>
      </c>
      <c r="G108" s="342">
        <f>N95</f>
        <v>265.33000000000004</v>
      </c>
    </row>
    <row r="109" spans="1:12">
      <c r="A109" s="109"/>
      <c r="B109" s="109"/>
      <c r="C109" s="99"/>
      <c r="D109" s="113" t="s">
        <v>38</v>
      </c>
      <c r="E109" s="109"/>
    </row>
    <row r="110" spans="1:12">
      <c r="A110" s="109"/>
      <c r="B110" s="109"/>
      <c r="C110" s="99"/>
      <c r="D110" s="109"/>
      <c r="E110" s="109"/>
    </row>
    <row r="111" spans="1:12">
      <c r="A111" s="109"/>
      <c r="B111" s="109"/>
      <c r="C111" s="98"/>
      <c r="D111" s="109"/>
      <c r="E111" s="109"/>
    </row>
    <row r="112" spans="1:12" ht="44">
      <c r="A112" s="109"/>
      <c r="B112" s="109"/>
      <c r="C112" s="109"/>
      <c r="D112" s="109"/>
      <c r="E112" s="109"/>
      <c r="F112" s="347" t="s">
        <v>328</v>
      </c>
      <c r="G112" s="345">
        <f>L95</f>
        <v>254.20049999999995</v>
      </c>
    </row>
    <row r="113" spans="1:7" ht="21">
      <c r="A113" s="109"/>
      <c r="B113" s="109"/>
      <c r="C113" s="112"/>
      <c r="D113" s="113"/>
      <c r="E113" s="109"/>
      <c r="F113" s="346" t="s">
        <v>275</v>
      </c>
      <c r="G113" s="345">
        <f>G100</f>
        <v>240.69399999999999</v>
      </c>
    </row>
    <row r="114" spans="1:7" ht="21">
      <c r="A114" s="109"/>
      <c r="B114" s="109"/>
      <c r="C114" s="109"/>
      <c r="D114" s="109"/>
      <c r="E114" s="109"/>
      <c r="F114" s="346" t="s">
        <v>325</v>
      </c>
      <c r="G114" s="345">
        <f>G101</f>
        <v>368.01</v>
      </c>
    </row>
    <row r="115" spans="1:7">
      <c r="A115" s="109"/>
      <c r="B115" s="109"/>
      <c r="C115" s="109"/>
      <c r="D115" s="109"/>
      <c r="E115" s="109"/>
      <c r="G115" s="27"/>
    </row>
    <row r="116" spans="1:7">
      <c r="A116" s="109"/>
      <c r="B116" s="109"/>
      <c r="C116" s="109"/>
      <c r="D116" s="109"/>
      <c r="E116" s="109"/>
      <c r="F116" s="123"/>
      <c r="G116" s="27"/>
    </row>
  </sheetData>
  <dataConsolidate/>
  <mergeCells count="11">
    <mergeCell ref="P65:P66"/>
    <mergeCell ref="G7:I7"/>
    <mergeCell ref="B11:C13"/>
    <mergeCell ref="I11:I12"/>
    <mergeCell ref="K11:M11"/>
    <mergeCell ref="P11:P13"/>
    <mergeCell ref="O11:O13"/>
    <mergeCell ref="H9:K9"/>
    <mergeCell ref="K12:M12"/>
    <mergeCell ref="N11:N13"/>
    <mergeCell ref="P62:P63"/>
  </mergeCells>
  <phoneticPr fontId="7" type="noConversion"/>
  <pageMargins left="0.70000000000000007" right="0.70000000000000007" top="0.75000000000000011" bottom="0.75000000000000011" header="0.30000000000000004" footer="0.30000000000000004"/>
  <pageSetup paperSize="9" scale="46" orientation="portrait" horizontalDpi="1200" verticalDpi="12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908C5E-C95B-4640-ABD0-F9E3FFF4C629}">
  <dimension ref="A1:M20"/>
  <sheetViews>
    <sheetView topLeftCell="A5" workbookViewId="0">
      <selection activeCell="G14" sqref="G14"/>
    </sheetView>
  </sheetViews>
  <sheetFormatPr baseColWidth="10" defaultRowHeight="15"/>
  <cols>
    <col min="1" max="1" width="20.6640625" customWidth="1"/>
    <col min="2" max="2" width="11" bestFit="1" customWidth="1"/>
    <col min="3" max="3" width="15" customWidth="1"/>
    <col min="4" max="4" width="15.1640625" customWidth="1"/>
    <col min="5" max="5" width="17.33203125" customWidth="1"/>
    <col min="6" max="6" width="19.1640625" customWidth="1"/>
    <col min="7" max="7" width="18" customWidth="1"/>
    <col min="8" max="8" width="16.83203125" customWidth="1"/>
    <col min="9" max="9" width="16.33203125" customWidth="1"/>
    <col min="10" max="10" width="18.83203125" customWidth="1"/>
    <col min="11" max="11" width="12.1640625" customWidth="1"/>
    <col min="12" max="12" width="14.6640625" bestFit="1" customWidth="1"/>
  </cols>
  <sheetData>
    <row r="1" spans="1:13" ht="24">
      <c r="A1" s="314" t="s">
        <v>257</v>
      </c>
    </row>
    <row r="5" spans="1:13" ht="66">
      <c r="A5" s="312" t="s">
        <v>38</v>
      </c>
      <c r="B5" s="311" t="s">
        <v>271</v>
      </c>
      <c r="C5" s="312" t="s">
        <v>258</v>
      </c>
      <c r="D5" s="312" t="s">
        <v>259</v>
      </c>
      <c r="E5" s="312" t="s">
        <v>260</v>
      </c>
      <c r="F5" s="312" t="s">
        <v>265</v>
      </c>
      <c r="G5" s="312" t="s">
        <v>266</v>
      </c>
      <c r="H5" s="312" t="s">
        <v>261</v>
      </c>
      <c r="I5" s="312" t="s">
        <v>262</v>
      </c>
      <c r="J5" s="312" t="s">
        <v>263</v>
      </c>
      <c r="K5" s="312" t="s">
        <v>264</v>
      </c>
    </row>
    <row r="6" spans="1:13" ht="21">
      <c r="A6" s="313"/>
      <c r="B6" s="311">
        <v>2020</v>
      </c>
      <c r="C6" s="313">
        <v>441500</v>
      </c>
      <c r="D6" s="313"/>
      <c r="E6" s="313"/>
      <c r="F6" s="313"/>
      <c r="G6" s="313"/>
      <c r="H6" s="313">
        <v>332416.78000000003</v>
      </c>
      <c r="I6" s="313"/>
      <c r="J6" s="313">
        <v>248994</v>
      </c>
      <c r="K6" s="311">
        <v>30</v>
      </c>
      <c r="L6" s="313" t="s">
        <v>38</v>
      </c>
    </row>
    <row r="7" spans="1:13" ht="21">
      <c r="A7" s="313"/>
      <c r="B7" s="311">
        <v>2019</v>
      </c>
      <c r="C7" s="313">
        <v>447490</v>
      </c>
      <c r="D7" s="313">
        <v>397240</v>
      </c>
      <c r="E7" s="313">
        <v>273520</v>
      </c>
      <c r="F7" s="313">
        <f>C7-E7</f>
        <v>173970</v>
      </c>
      <c r="G7" s="313">
        <v>119680</v>
      </c>
      <c r="H7" s="313">
        <f>I8</f>
        <v>387000</v>
      </c>
      <c r="I7" s="313">
        <v>332416.78000000003</v>
      </c>
      <c r="J7" s="313">
        <v>232394</v>
      </c>
      <c r="K7" s="311">
        <v>28</v>
      </c>
      <c r="L7" s="313" t="s">
        <v>38</v>
      </c>
    </row>
    <row r="8" spans="1:13" ht="21">
      <c r="A8" s="313" t="s">
        <v>38</v>
      </c>
      <c r="B8" s="311">
        <v>2018</v>
      </c>
      <c r="C8" s="313">
        <v>410000</v>
      </c>
      <c r="D8" s="313"/>
      <c r="E8" s="313">
        <v>287454</v>
      </c>
      <c r="F8" s="313">
        <f t="shared" ref="F8:F11" si="0">C8-E8</f>
        <v>122546</v>
      </c>
      <c r="G8" s="313"/>
      <c r="H8" s="313">
        <f>I9</f>
        <v>394000</v>
      </c>
      <c r="I8" s="313">
        <v>387000</v>
      </c>
      <c r="J8" s="313">
        <v>224094</v>
      </c>
      <c r="K8" s="311">
        <v>27</v>
      </c>
      <c r="L8" s="313" t="s">
        <v>38</v>
      </c>
      <c r="M8" t="s">
        <v>38</v>
      </c>
    </row>
    <row r="9" spans="1:13" ht="21">
      <c r="A9" s="313" t="s">
        <v>38</v>
      </c>
      <c r="B9" s="311">
        <v>2017</v>
      </c>
      <c r="C9" s="313">
        <v>329000</v>
      </c>
      <c r="D9" s="313"/>
      <c r="E9" s="313">
        <v>217717</v>
      </c>
      <c r="F9" s="313">
        <f t="shared" si="0"/>
        <v>111283</v>
      </c>
      <c r="G9" s="313"/>
      <c r="H9" s="313">
        <f>I10</f>
        <v>338000</v>
      </c>
      <c r="I9" s="313">
        <v>394000</v>
      </c>
      <c r="J9" s="313">
        <v>224094</v>
      </c>
      <c r="K9" s="311">
        <v>27</v>
      </c>
      <c r="L9" s="313" t="s">
        <v>38</v>
      </c>
      <c r="M9" t="s">
        <v>38</v>
      </c>
    </row>
    <row r="10" spans="1:13" ht="21">
      <c r="A10" s="313" t="s">
        <v>38</v>
      </c>
      <c r="B10" s="311">
        <v>2016</v>
      </c>
      <c r="C10" s="313">
        <v>355000</v>
      </c>
      <c r="D10" s="313"/>
      <c r="E10" s="313">
        <v>237337</v>
      </c>
      <c r="F10" s="313">
        <f t="shared" si="0"/>
        <v>117663</v>
      </c>
      <c r="G10" s="313"/>
      <c r="H10" s="313">
        <f>I11</f>
        <v>247000</v>
      </c>
      <c r="I10" s="313">
        <v>338000</v>
      </c>
      <c r="J10" s="313">
        <v>199200</v>
      </c>
      <c r="K10" s="311">
        <v>24</v>
      </c>
      <c r="L10" s="313" t="s">
        <v>38</v>
      </c>
    </row>
    <row r="11" spans="1:13" ht="21">
      <c r="A11" s="313" t="s">
        <v>38</v>
      </c>
      <c r="B11" s="311">
        <v>2015</v>
      </c>
      <c r="C11" s="313">
        <v>274000</v>
      </c>
      <c r="D11" s="313"/>
      <c r="E11" s="313">
        <v>188118</v>
      </c>
      <c r="F11" s="313">
        <f t="shared" si="0"/>
        <v>85882</v>
      </c>
      <c r="G11" s="313"/>
      <c r="H11" s="313"/>
      <c r="I11" s="313">
        <v>247000</v>
      </c>
      <c r="J11" s="313">
        <v>182600</v>
      </c>
      <c r="K11" s="311">
        <v>22</v>
      </c>
      <c r="L11" s="313" t="s">
        <v>38</v>
      </c>
    </row>
    <row r="12" spans="1:13" ht="21">
      <c r="A12" s="313"/>
      <c r="B12" s="311"/>
      <c r="C12" s="313"/>
      <c r="D12" s="313"/>
      <c r="E12" s="313"/>
      <c r="F12" s="313"/>
      <c r="G12" s="313"/>
      <c r="H12" s="313"/>
      <c r="I12" s="313"/>
      <c r="J12" s="313"/>
      <c r="K12" s="311"/>
      <c r="L12" s="313"/>
    </row>
    <row r="13" spans="1:13" ht="21">
      <c r="B13" s="311"/>
      <c r="C13" s="313"/>
      <c r="D13" s="313"/>
      <c r="E13" s="313"/>
      <c r="F13" s="313"/>
      <c r="G13" s="313"/>
      <c r="H13" s="313"/>
      <c r="I13" s="313"/>
      <c r="J13" s="313"/>
      <c r="K13" s="311"/>
    </row>
    <row r="14" spans="1:13" ht="21">
      <c r="A14" s="313" t="s">
        <v>269</v>
      </c>
      <c r="B14" s="311">
        <v>2013</v>
      </c>
      <c r="C14" s="313">
        <v>211000</v>
      </c>
      <c r="D14" s="311"/>
      <c r="E14" s="313">
        <v>152000</v>
      </c>
      <c r="F14" s="313">
        <f>C14-E14</f>
        <v>59000</v>
      </c>
      <c r="G14" s="311"/>
      <c r="H14" s="311"/>
      <c r="I14" s="313">
        <v>290338</v>
      </c>
      <c r="J14" s="313">
        <v>160000</v>
      </c>
      <c r="K14" s="311">
        <v>21</v>
      </c>
    </row>
    <row r="15" spans="1:13" ht="21">
      <c r="A15" s="313" t="s">
        <v>38</v>
      </c>
      <c r="B15" s="311">
        <v>2002</v>
      </c>
      <c r="C15" s="311"/>
      <c r="D15" s="311"/>
      <c r="E15" s="313">
        <v>55951</v>
      </c>
      <c r="F15" s="313"/>
      <c r="G15" s="311"/>
      <c r="H15" s="311"/>
      <c r="I15" s="313">
        <v>104000</v>
      </c>
      <c r="J15" s="313">
        <v>73500</v>
      </c>
      <c r="K15" s="311">
        <v>13</v>
      </c>
    </row>
    <row r="16" spans="1:13" ht="66">
      <c r="C16" s="312" t="s">
        <v>267</v>
      </c>
      <c r="D16" s="312" t="s">
        <v>268</v>
      </c>
      <c r="E16" s="312"/>
      <c r="F16" s="312"/>
      <c r="G16" s="312"/>
      <c r="H16" s="312"/>
      <c r="I16" s="312"/>
      <c r="J16" s="312"/>
      <c r="K16" s="312"/>
    </row>
    <row r="17" spans="2:10" ht="21">
      <c r="B17" s="311">
        <v>2020</v>
      </c>
    </row>
    <row r="18" spans="2:10" ht="21">
      <c r="B18" s="311">
        <v>2019</v>
      </c>
      <c r="C18" s="313">
        <v>180000</v>
      </c>
      <c r="D18" s="313">
        <f>E7-C18</f>
        <v>93520</v>
      </c>
      <c r="E18" s="313"/>
      <c r="F18" s="313"/>
      <c r="G18" s="313"/>
      <c r="H18" s="313"/>
      <c r="I18" s="313"/>
      <c r="J18" s="313"/>
    </row>
    <row r="19" spans="2:10" ht="21">
      <c r="D19" s="313"/>
      <c r="E19" s="313"/>
      <c r="F19" s="313"/>
      <c r="G19" s="313"/>
      <c r="H19" s="313"/>
      <c r="I19" s="313"/>
      <c r="J19" s="313"/>
    </row>
    <row r="20" spans="2:10" ht="21">
      <c r="D20" s="313"/>
      <c r="E20" s="313"/>
      <c r="F20" s="313"/>
      <c r="G20" s="313"/>
      <c r="H20" s="313"/>
      <c r="I20" s="313"/>
      <c r="J20" s="313"/>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52"/>
  <sheetViews>
    <sheetView view="pageLayout" topLeftCell="A22" zoomScaleNormal="150" workbookViewId="0">
      <selection activeCell="L32" sqref="L32"/>
    </sheetView>
  </sheetViews>
  <sheetFormatPr baseColWidth="10" defaultColWidth="8.83203125" defaultRowHeight="15"/>
  <cols>
    <col min="2" max="2" width="31.33203125" customWidth="1"/>
    <col min="3" max="3" width="10" customWidth="1"/>
    <col min="4" max="4" width="9.5" customWidth="1"/>
    <col min="5" max="5" width="9.1640625" customWidth="1"/>
    <col min="6" max="6" width="9.5" customWidth="1"/>
    <col min="7" max="9" width="9" customWidth="1"/>
    <col min="10" max="10" width="8.33203125" customWidth="1"/>
  </cols>
  <sheetData>
    <row r="2" spans="1:13" ht="17" customHeight="1">
      <c r="B2" s="373" t="s">
        <v>33</v>
      </c>
      <c r="C2" s="374"/>
      <c r="D2" s="374"/>
      <c r="E2" s="374"/>
      <c r="F2" s="374"/>
    </row>
    <row r="3" spans="1:13" ht="14" customHeight="1">
      <c r="B3" s="373"/>
      <c r="C3" s="374"/>
      <c r="D3" s="374"/>
      <c r="E3" s="374"/>
      <c r="F3" s="374"/>
    </row>
    <row r="4" spans="1:13" ht="14" customHeight="1">
      <c r="B4" s="373"/>
      <c r="C4" s="374"/>
      <c r="D4" s="374"/>
      <c r="E4" s="374"/>
      <c r="F4" s="374"/>
    </row>
    <row r="5" spans="1:13">
      <c r="B5" s="52" t="s">
        <v>22</v>
      </c>
      <c r="C5" s="51">
        <v>2012</v>
      </c>
      <c r="D5" s="51">
        <v>2013</v>
      </c>
      <c r="E5" s="51">
        <v>2014</v>
      </c>
      <c r="F5" s="69">
        <v>2015</v>
      </c>
      <c r="G5" s="70">
        <v>2016</v>
      </c>
      <c r="H5" s="70">
        <v>2017</v>
      </c>
      <c r="I5" s="70">
        <v>2018</v>
      </c>
      <c r="J5" s="70">
        <v>2019</v>
      </c>
      <c r="K5" s="261">
        <v>2020</v>
      </c>
      <c r="L5" s="261">
        <v>2020</v>
      </c>
    </row>
    <row r="6" spans="1:13">
      <c r="B6" s="46"/>
      <c r="C6" s="48"/>
      <c r="D6" s="48"/>
      <c r="E6" s="48"/>
      <c r="F6" s="31"/>
      <c r="G6" s="71"/>
      <c r="H6" s="71"/>
      <c r="I6" s="71"/>
      <c r="J6" s="71"/>
    </row>
    <row r="7" spans="1:13">
      <c r="B7" s="47"/>
      <c r="C7" s="49" t="s">
        <v>16</v>
      </c>
      <c r="D7" s="49" t="s">
        <v>16</v>
      </c>
      <c r="E7" s="49" t="s">
        <v>16</v>
      </c>
      <c r="F7" s="49" t="s">
        <v>16</v>
      </c>
      <c r="G7" s="72" t="s">
        <v>16</v>
      </c>
      <c r="H7" s="72" t="s">
        <v>16</v>
      </c>
      <c r="I7" s="72" t="s">
        <v>16</v>
      </c>
      <c r="J7" s="72" t="s">
        <v>16</v>
      </c>
      <c r="K7" s="72" t="s">
        <v>16</v>
      </c>
      <c r="L7" s="261" t="s">
        <v>272</v>
      </c>
    </row>
    <row r="8" spans="1:13">
      <c r="B8" s="53"/>
      <c r="C8" s="54"/>
      <c r="D8" s="54"/>
      <c r="E8" s="12"/>
      <c r="F8" s="12"/>
      <c r="G8" s="73"/>
      <c r="H8" s="73"/>
      <c r="I8" s="73"/>
      <c r="J8" s="73"/>
    </row>
    <row r="9" spans="1:13">
      <c r="A9">
        <v>1</v>
      </c>
      <c r="B9" s="46" t="s">
        <v>18</v>
      </c>
      <c r="C9" s="50">
        <v>15000</v>
      </c>
      <c r="D9" s="62">
        <v>8000</v>
      </c>
      <c r="E9" s="62">
        <v>8000</v>
      </c>
      <c r="F9" s="31">
        <v>8300</v>
      </c>
      <c r="G9" s="71">
        <v>8300</v>
      </c>
      <c r="H9" s="71">
        <v>8300</v>
      </c>
      <c r="I9" s="71">
        <v>8300</v>
      </c>
      <c r="J9" s="71">
        <v>8300</v>
      </c>
      <c r="K9" s="71">
        <v>8300</v>
      </c>
      <c r="L9" s="71">
        <v>8300</v>
      </c>
    </row>
    <row r="10" spans="1:13">
      <c r="A10">
        <v>2</v>
      </c>
      <c r="B10" s="46" t="s">
        <v>105</v>
      </c>
      <c r="C10" s="50">
        <v>7500</v>
      </c>
      <c r="D10" s="62">
        <v>4000</v>
      </c>
      <c r="E10" s="62">
        <v>8000</v>
      </c>
      <c r="F10" s="31">
        <v>8300</v>
      </c>
      <c r="G10" s="71">
        <v>8300</v>
      </c>
      <c r="H10" s="71">
        <v>8300</v>
      </c>
      <c r="I10" s="71">
        <v>8300</v>
      </c>
      <c r="J10" s="71">
        <v>8300</v>
      </c>
      <c r="K10" s="71">
        <v>8300</v>
      </c>
      <c r="L10" s="71">
        <v>8300</v>
      </c>
    </row>
    <row r="11" spans="1:13">
      <c r="A11">
        <v>3</v>
      </c>
      <c r="B11" s="46" t="s">
        <v>106</v>
      </c>
      <c r="C11" s="50">
        <v>7500</v>
      </c>
      <c r="D11" s="62">
        <v>4000</v>
      </c>
      <c r="E11" s="62">
        <v>4000</v>
      </c>
      <c r="F11" s="31">
        <v>8300</v>
      </c>
      <c r="G11" s="71">
        <v>8300</v>
      </c>
      <c r="H11" s="71">
        <v>8300</v>
      </c>
      <c r="I11" s="71">
        <v>8300</v>
      </c>
      <c r="J11" s="71">
        <v>8300</v>
      </c>
      <c r="K11" s="71">
        <v>8300</v>
      </c>
      <c r="L11" s="71">
        <v>8300</v>
      </c>
    </row>
    <row r="12" spans="1:13">
      <c r="A12">
        <v>4</v>
      </c>
      <c r="B12" s="46" t="s">
        <v>21</v>
      </c>
      <c r="C12" s="50">
        <v>15000</v>
      </c>
      <c r="D12" s="62">
        <v>8000</v>
      </c>
      <c r="E12" s="62">
        <v>8000</v>
      </c>
      <c r="F12" s="31">
        <v>8300</v>
      </c>
      <c r="G12" s="71">
        <v>8300</v>
      </c>
      <c r="H12" s="71">
        <v>8300</v>
      </c>
      <c r="I12" s="71">
        <v>8300</v>
      </c>
      <c r="J12" s="71">
        <v>8300</v>
      </c>
      <c r="K12" s="71">
        <v>8300</v>
      </c>
      <c r="L12" s="71">
        <v>8300</v>
      </c>
    </row>
    <row r="13" spans="1:13">
      <c r="B13" s="46" t="s">
        <v>118</v>
      </c>
      <c r="C13" s="50">
        <v>15000</v>
      </c>
      <c r="D13" s="62">
        <v>8000</v>
      </c>
      <c r="E13" s="62">
        <v>8000</v>
      </c>
      <c r="F13" s="31">
        <v>8300</v>
      </c>
      <c r="G13" s="71">
        <v>8300</v>
      </c>
      <c r="H13" s="71">
        <v>8300</v>
      </c>
      <c r="I13" s="71">
        <v>0</v>
      </c>
      <c r="J13" s="71">
        <v>0</v>
      </c>
      <c r="K13" s="71">
        <v>0</v>
      </c>
      <c r="L13" s="71">
        <v>8300</v>
      </c>
    </row>
    <row r="14" spans="1:13">
      <c r="A14">
        <v>5</v>
      </c>
      <c r="B14" s="46" t="s">
        <v>19</v>
      </c>
      <c r="C14" s="50">
        <v>15000</v>
      </c>
      <c r="D14" s="62">
        <v>8000</v>
      </c>
      <c r="E14" s="62">
        <v>8000</v>
      </c>
      <c r="F14" s="31">
        <v>8300</v>
      </c>
      <c r="G14" s="71">
        <v>8300</v>
      </c>
      <c r="H14" s="71">
        <v>8300</v>
      </c>
      <c r="I14" s="71">
        <v>8300</v>
      </c>
      <c r="J14" s="71">
        <v>8300</v>
      </c>
      <c r="K14" s="71">
        <v>8300</v>
      </c>
      <c r="L14" s="71">
        <v>8300</v>
      </c>
    </row>
    <row r="15" spans="1:13">
      <c r="A15">
        <v>6</v>
      </c>
      <c r="B15" s="46" t="s">
        <v>20</v>
      </c>
      <c r="C15" s="50">
        <v>8000</v>
      </c>
      <c r="D15" s="62">
        <v>8000</v>
      </c>
      <c r="E15" s="62">
        <v>8000</v>
      </c>
      <c r="F15" s="31">
        <v>8300</v>
      </c>
      <c r="G15" s="71">
        <v>8300</v>
      </c>
      <c r="H15" s="71">
        <v>8300</v>
      </c>
      <c r="I15" s="71">
        <v>8300</v>
      </c>
      <c r="J15" s="71">
        <v>8300</v>
      </c>
      <c r="K15" s="71">
        <v>8300</v>
      </c>
      <c r="L15" s="71">
        <v>8300</v>
      </c>
    </row>
    <row r="16" spans="1:13">
      <c r="A16">
        <v>7</v>
      </c>
      <c r="B16" s="46" t="s">
        <v>49</v>
      </c>
      <c r="C16" s="50">
        <v>8000</v>
      </c>
      <c r="D16" s="62">
        <v>8000</v>
      </c>
      <c r="E16" s="62">
        <v>8000</v>
      </c>
      <c r="F16" s="31">
        <v>8300</v>
      </c>
      <c r="G16" s="71">
        <v>8300</v>
      </c>
      <c r="H16" s="71">
        <v>8300</v>
      </c>
      <c r="I16" s="71">
        <v>8300</v>
      </c>
      <c r="J16" s="71">
        <v>8300</v>
      </c>
      <c r="K16" s="71">
        <v>8300</v>
      </c>
      <c r="L16" s="71"/>
      <c r="M16" s="27"/>
    </row>
    <row r="17" spans="1:13">
      <c r="A17">
        <v>8</v>
      </c>
      <c r="B17" s="46" t="s">
        <v>23</v>
      </c>
      <c r="C17" s="50">
        <v>8000</v>
      </c>
      <c r="D17" s="62">
        <v>8000</v>
      </c>
      <c r="E17" s="62">
        <v>8000</v>
      </c>
      <c r="F17" s="31">
        <v>8300</v>
      </c>
      <c r="G17" s="71">
        <v>8300</v>
      </c>
      <c r="H17" s="71">
        <v>8300</v>
      </c>
      <c r="I17" s="71">
        <v>8300</v>
      </c>
      <c r="J17" s="71">
        <v>8300</v>
      </c>
      <c r="K17" s="71">
        <v>8300</v>
      </c>
      <c r="L17" s="71">
        <v>8300</v>
      </c>
      <c r="M17" s="27"/>
    </row>
    <row r="18" spans="1:13">
      <c r="B18" s="46" t="s">
        <v>43</v>
      </c>
      <c r="C18" s="50">
        <v>8000</v>
      </c>
      <c r="D18" s="62">
        <v>8000</v>
      </c>
      <c r="E18" s="62">
        <v>8000</v>
      </c>
      <c r="F18" s="31">
        <v>0</v>
      </c>
      <c r="G18" s="71">
        <v>0</v>
      </c>
      <c r="H18" s="71">
        <v>0</v>
      </c>
      <c r="I18" s="71">
        <v>0</v>
      </c>
      <c r="J18" s="71">
        <v>0</v>
      </c>
      <c r="K18" s="71">
        <v>0</v>
      </c>
      <c r="L18" s="71"/>
      <c r="M18" s="27"/>
    </row>
    <row r="19" spans="1:13">
      <c r="A19">
        <v>9</v>
      </c>
      <c r="B19" s="46" t="s">
        <v>52</v>
      </c>
      <c r="C19" s="50">
        <v>8000</v>
      </c>
      <c r="D19" s="62">
        <v>8000</v>
      </c>
      <c r="E19" s="62">
        <v>8000</v>
      </c>
      <c r="F19" s="31">
        <v>8300</v>
      </c>
      <c r="G19" s="71">
        <v>8300</v>
      </c>
      <c r="H19" s="71">
        <v>8300</v>
      </c>
      <c r="I19" s="71">
        <v>8300</v>
      </c>
      <c r="J19" s="268">
        <v>8300</v>
      </c>
      <c r="K19" s="71">
        <v>8300</v>
      </c>
      <c r="L19" s="71">
        <v>8300</v>
      </c>
      <c r="M19" s="27"/>
    </row>
    <row r="20" spans="1:13">
      <c r="A20">
        <v>10</v>
      </c>
      <c r="B20" s="46" t="s">
        <v>24</v>
      </c>
      <c r="C20" s="50">
        <v>8000</v>
      </c>
      <c r="D20" s="62">
        <v>8000</v>
      </c>
      <c r="E20" s="62">
        <v>8000</v>
      </c>
      <c r="F20" s="31">
        <v>8300</v>
      </c>
      <c r="G20" s="71">
        <v>8300</v>
      </c>
      <c r="H20" s="71">
        <v>8300</v>
      </c>
      <c r="I20" s="71">
        <v>8300</v>
      </c>
      <c r="J20" s="268">
        <v>8300</v>
      </c>
      <c r="K20" s="71">
        <v>8300</v>
      </c>
      <c r="L20" s="71">
        <v>8300</v>
      </c>
      <c r="M20" s="27"/>
    </row>
    <row r="21" spans="1:13">
      <c r="A21">
        <v>11</v>
      </c>
      <c r="B21" s="46" t="s">
        <v>107</v>
      </c>
      <c r="C21" s="50">
        <v>8000</v>
      </c>
      <c r="D21" s="62">
        <v>8000</v>
      </c>
      <c r="E21" s="62">
        <v>8000</v>
      </c>
      <c r="F21" s="31">
        <v>8300</v>
      </c>
      <c r="G21" s="71">
        <v>8300</v>
      </c>
      <c r="H21" s="71">
        <v>8300</v>
      </c>
      <c r="I21" s="71">
        <v>8300</v>
      </c>
      <c r="J21" s="71">
        <v>8300</v>
      </c>
      <c r="K21" s="71">
        <v>8300</v>
      </c>
      <c r="L21" s="71">
        <v>8300</v>
      </c>
      <c r="M21" s="27"/>
    </row>
    <row r="22" spans="1:13">
      <c r="A22">
        <v>12</v>
      </c>
      <c r="B22" s="46" t="s">
        <v>108</v>
      </c>
      <c r="C22" s="50">
        <v>8000</v>
      </c>
      <c r="D22" s="62">
        <v>8000</v>
      </c>
      <c r="E22" s="62">
        <v>8000</v>
      </c>
      <c r="F22" s="31">
        <v>8300</v>
      </c>
      <c r="G22" s="71">
        <v>8300</v>
      </c>
      <c r="H22" s="71">
        <v>8300</v>
      </c>
      <c r="I22" s="71">
        <v>8300</v>
      </c>
      <c r="J22" s="71">
        <v>8300</v>
      </c>
      <c r="K22" s="71">
        <v>8300</v>
      </c>
      <c r="L22" s="71">
        <v>8300</v>
      </c>
      <c r="M22" s="27"/>
    </row>
    <row r="23" spans="1:13">
      <c r="A23">
        <v>13</v>
      </c>
      <c r="B23" s="46" t="s">
        <v>25</v>
      </c>
      <c r="C23" s="50">
        <v>8000</v>
      </c>
      <c r="D23" s="62">
        <v>8000</v>
      </c>
      <c r="E23" s="62">
        <v>8000</v>
      </c>
      <c r="F23" s="31">
        <v>8300</v>
      </c>
      <c r="G23" s="71">
        <v>8300</v>
      </c>
      <c r="H23" s="71">
        <v>8300</v>
      </c>
      <c r="I23" s="71">
        <v>8300</v>
      </c>
      <c r="J23" s="268">
        <v>8300</v>
      </c>
      <c r="K23" s="71">
        <v>8300</v>
      </c>
      <c r="L23" s="71">
        <v>8300</v>
      </c>
      <c r="M23" s="27"/>
    </row>
    <row r="24" spans="1:13">
      <c r="A24">
        <v>14</v>
      </c>
      <c r="B24" s="46" t="s">
        <v>26</v>
      </c>
      <c r="C24" s="50">
        <v>8000</v>
      </c>
      <c r="D24" s="62">
        <v>8000</v>
      </c>
      <c r="E24" s="62">
        <v>8000</v>
      </c>
      <c r="F24" s="31">
        <v>8300</v>
      </c>
      <c r="G24" s="71">
        <v>8300</v>
      </c>
      <c r="H24" s="71">
        <v>8300</v>
      </c>
      <c r="I24" s="71">
        <v>8300</v>
      </c>
      <c r="J24" s="71">
        <v>8300</v>
      </c>
      <c r="K24" s="71">
        <v>8300</v>
      </c>
      <c r="L24" s="71">
        <v>8300</v>
      </c>
      <c r="M24" s="27"/>
    </row>
    <row r="25" spans="1:13">
      <c r="A25">
        <v>15</v>
      </c>
      <c r="B25" s="46" t="s">
        <v>109</v>
      </c>
      <c r="C25" s="50">
        <v>8000</v>
      </c>
      <c r="D25" s="62">
        <v>8000</v>
      </c>
      <c r="E25" s="62">
        <v>8000</v>
      </c>
      <c r="F25" s="31">
        <v>8300</v>
      </c>
      <c r="G25" s="71">
        <v>8300</v>
      </c>
      <c r="H25" s="71">
        <v>8300</v>
      </c>
      <c r="I25" s="71">
        <v>8300</v>
      </c>
      <c r="J25" s="71">
        <v>8300</v>
      </c>
      <c r="K25" s="71">
        <v>8300</v>
      </c>
      <c r="L25" s="71">
        <v>8300</v>
      </c>
      <c r="M25" s="27"/>
    </row>
    <row r="26" spans="1:13">
      <c r="A26">
        <v>16</v>
      </c>
      <c r="B26" s="46" t="s">
        <v>29</v>
      </c>
      <c r="C26" s="50">
        <v>15000</v>
      </c>
      <c r="D26" s="62">
        <v>8000</v>
      </c>
      <c r="E26" s="62">
        <v>8000</v>
      </c>
      <c r="F26" s="31">
        <v>8300</v>
      </c>
      <c r="G26" s="71">
        <v>8300</v>
      </c>
      <c r="H26" s="71">
        <v>8300</v>
      </c>
      <c r="I26" s="71">
        <v>8300</v>
      </c>
      <c r="J26" s="268">
        <v>8300</v>
      </c>
      <c r="K26" s="71">
        <v>8300</v>
      </c>
      <c r="L26" s="71">
        <v>8300</v>
      </c>
      <c r="M26" s="27"/>
    </row>
    <row r="27" spans="1:13">
      <c r="A27">
        <v>17</v>
      </c>
      <c r="B27" s="46" t="s">
        <v>30</v>
      </c>
      <c r="C27" s="50">
        <v>8000</v>
      </c>
      <c r="D27" s="62">
        <v>8000</v>
      </c>
      <c r="E27" s="62">
        <v>8000</v>
      </c>
      <c r="F27" s="31">
        <v>8300</v>
      </c>
      <c r="G27" s="71">
        <v>8300</v>
      </c>
      <c r="H27" s="71">
        <v>8300</v>
      </c>
      <c r="I27" s="71">
        <v>8300</v>
      </c>
      <c r="J27" s="268">
        <v>8300</v>
      </c>
      <c r="K27" s="71">
        <v>8300</v>
      </c>
      <c r="L27" s="71">
        <v>8300</v>
      </c>
      <c r="M27" s="27"/>
    </row>
    <row r="28" spans="1:13">
      <c r="A28">
        <v>18</v>
      </c>
      <c r="B28" s="46" t="s">
        <v>31</v>
      </c>
      <c r="C28" s="50">
        <v>8000</v>
      </c>
      <c r="D28" s="62">
        <v>8000</v>
      </c>
      <c r="E28" s="62">
        <v>8000</v>
      </c>
      <c r="F28" s="75">
        <v>8294</v>
      </c>
      <c r="G28" s="71">
        <v>8300</v>
      </c>
      <c r="H28" s="71">
        <v>8294</v>
      </c>
      <c r="I28" s="71">
        <v>8294</v>
      </c>
      <c r="J28" s="71">
        <v>8294</v>
      </c>
      <c r="K28" s="71">
        <v>8294</v>
      </c>
      <c r="L28" s="27">
        <v>8294</v>
      </c>
      <c r="M28" s="27"/>
    </row>
    <row r="29" spans="1:13">
      <c r="A29">
        <v>19</v>
      </c>
      <c r="B29" s="46" t="s">
        <v>34</v>
      </c>
      <c r="C29" s="60"/>
      <c r="D29" s="63">
        <v>8000</v>
      </c>
      <c r="E29" s="63">
        <v>8000</v>
      </c>
      <c r="F29" s="31">
        <v>8300</v>
      </c>
      <c r="G29" s="71">
        <v>8300</v>
      </c>
      <c r="H29" s="71">
        <v>8300</v>
      </c>
      <c r="I29" s="71">
        <v>8300</v>
      </c>
      <c r="J29" s="268">
        <v>8300</v>
      </c>
      <c r="K29" s="71">
        <v>8300</v>
      </c>
      <c r="L29" s="71">
        <v>8300</v>
      </c>
      <c r="M29" s="27"/>
    </row>
    <row r="30" spans="1:13">
      <c r="A30">
        <v>20</v>
      </c>
      <c r="B30" s="46" t="s">
        <v>175</v>
      </c>
      <c r="C30" s="60"/>
      <c r="D30" s="63"/>
      <c r="E30" s="67">
        <v>8000</v>
      </c>
      <c r="F30" s="31">
        <v>8300</v>
      </c>
      <c r="G30" s="71">
        <v>8300</v>
      </c>
      <c r="H30" s="71">
        <v>8300</v>
      </c>
      <c r="I30" s="71">
        <v>8300</v>
      </c>
      <c r="J30" s="71">
        <v>8300</v>
      </c>
      <c r="K30" s="71">
        <v>8300</v>
      </c>
      <c r="L30" s="71">
        <v>8300</v>
      </c>
      <c r="M30" s="27"/>
    </row>
    <row r="31" spans="1:13">
      <c r="B31" s="46" t="s">
        <v>117</v>
      </c>
      <c r="C31" s="60"/>
      <c r="D31" s="63"/>
      <c r="E31" s="67">
        <v>8000</v>
      </c>
      <c r="F31" s="31">
        <v>8300</v>
      </c>
      <c r="G31" s="71">
        <v>8300</v>
      </c>
      <c r="H31" s="71">
        <v>8300</v>
      </c>
      <c r="I31" s="71">
        <v>0</v>
      </c>
      <c r="J31" s="71">
        <v>0</v>
      </c>
      <c r="K31" s="71">
        <v>0</v>
      </c>
      <c r="L31" s="71"/>
      <c r="M31" s="27"/>
    </row>
    <row r="32" spans="1:13">
      <c r="A32">
        <v>21</v>
      </c>
      <c r="B32" s="46" t="s">
        <v>44</v>
      </c>
      <c r="C32" s="60"/>
      <c r="D32" s="63"/>
      <c r="E32" s="31"/>
      <c r="F32" s="31"/>
      <c r="G32" s="71">
        <v>8300</v>
      </c>
      <c r="H32" s="71">
        <v>8300</v>
      </c>
      <c r="I32" s="71">
        <v>8300</v>
      </c>
      <c r="J32" s="71">
        <v>8300</v>
      </c>
      <c r="K32" s="71">
        <v>8300</v>
      </c>
      <c r="L32" s="71">
        <v>8300</v>
      </c>
      <c r="M32" s="27"/>
    </row>
    <row r="33" spans="1:13">
      <c r="A33">
        <v>22</v>
      </c>
      <c r="B33" s="46" t="s">
        <v>45</v>
      </c>
      <c r="C33" s="60"/>
      <c r="D33" s="63"/>
      <c r="E33" s="31"/>
      <c r="F33" s="31"/>
      <c r="G33" s="71">
        <v>8300</v>
      </c>
      <c r="H33" s="71">
        <v>8300</v>
      </c>
      <c r="I33" s="71">
        <v>8300</v>
      </c>
      <c r="J33" s="71">
        <v>8300</v>
      </c>
      <c r="K33" s="71">
        <v>8300</v>
      </c>
      <c r="L33" s="71">
        <v>8300</v>
      </c>
      <c r="M33" s="27"/>
    </row>
    <row r="34" spans="1:13">
      <c r="A34">
        <v>23</v>
      </c>
      <c r="B34" s="46" t="s">
        <v>50</v>
      </c>
      <c r="C34" s="60"/>
      <c r="D34" s="63"/>
      <c r="E34" s="31"/>
      <c r="F34" s="31"/>
      <c r="G34" s="71"/>
      <c r="H34" s="71">
        <v>8300</v>
      </c>
      <c r="I34" s="71">
        <v>8300</v>
      </c>
      <c r="J34" s="71">
        <v>8300</v>
      </c>
      <c r="K34" s="71">
        <v>8300</v>
      </c>
      <c r="L34" s="71">
        <v>8300</v>
      </c>
      <c r="M34" s="27"/>
    </row>
    <row r="35" spans="1:13">
      <c r="A35">
        <v>24</v>
      </c>
      <c r="B35" s="46" t="s">
        <v>51</v>
      </c>
      <c r="C35" s="60"/>
      <c r="D35" s="63"/>
      <c r="E35" s="31"/>
      <c r="F35" s="31"/>
      <c r="G35" s="71"/>
      <c r="H35" s="71">
        <v>8300</v>
      </c>
      <c r="I35" s="71">
        <v>8300</v>
      </c>
      <c r="J35" s="71">
        <v>8300</v>
      </c>
      <c r="K35" s="71">
        <v>8300</v>
      </c>
      <c r="L35" s="71">
        <v>8300</v>
      </c>
      <c r="M35" s="27"/>
    </row>
    <row r="36" spans="1:13">
      <c r="A36">
        <v>25</v>
      </c>
      <c r="B36" s="46" t="s">
        <v>88</v>
      </c>
      <c r="C36" s="60"/>
      <c r="D36" s="63"/>
      <c r="E36" s="31"/>
      <c r="F36" s="31"/>
      <c r="G36" s="71"/>
      <c r="H36" s="71">
        <v>8300</v>
      </c>
      <c r="I36" s="71">
        <v>8300</v>
      </c>
      <c r="J36" s="71">
        <v>8300</v>
      </c>
      <c r="K36" s="71">
        <v>8300</v>
      </c>
      <c r="L36" s="71">
        <v>8300</v>
      </c>
      <c r="M36" s="27"/>
    </row>
    <row r="37" spans="1:13">
      <c r="A37">
        <v>26</v>
      </c>
      <c r="B37" s="46" t="s">
        <v>103</v>
      </c>
      <c r="C37" s="60"/>
      <c r="D37" s="63"/>
      <c r="E37" s="31"/>
      <c r="F37" s="31"/>
      <c r="G37" s="71"/>
      <c r="H37" s="71"/>
      <c r="I37" s="71">
        <v>8300</v>
      </c>
      <c r="J37" s="71">
        <v>8300</v>
      </c>
      <c r="K37" s="71">
        <v>8300</v>
      </c>
      <c r="L37" s="71"/>
      <c r="M37" s="27"/>
    </row>
    <row r="38" spans="1:13">
      <c r="A38">
        <v>27</v>
      </c>
      <c r="B38" s="46" t="s">
        <v>104</v>
      </c>
      <c r="C38" s="60"/>
      <c r="D38" s="63"/>
      <c r="E38" s="31"/>
      <c r="F38" s="31"/>
      <c r="G38" s="71"/>
      <c r="H38" s="71"/>
      <c r="I38" s="71">
        <v>8300</v>
      </c>
      <c r="J38" s="268">
        <v>8300</v>
      </c>
      <c r="K38" s="71">
        <v>8300</v>
      </c>
      <c r="L38" s="71">
        <v>8300</v>
      </c>
      <c r="M38" s="27"/>
    </row>
    <row r="39" spans="1:13">
      <c r="A39">
        <v>28</v>
      </c>
      <c r="B39" s="46" t="s">
        <v>119</v>
      </c>
      <c r="C39" s="60"/>
      <c r="D39" s="63"/>
      <c r="E39" s="31"/>
      <c r="F39" s="31"/>
      <c r="G39" s="71"/>
      <c r="H39" s="71"/>
      <c r="I39" s="71"/>
      <c r="J39" s="71">
        <v>8300</v>
      </c>
      <c r="K39" s="71">
        <v>8300</v>
      </c>
      <c r="L39" s="71">
        <v>8300</v>
      </c>
      <c r="M39" s="27"/>
    </row>
    <row r="40" spans="1:13">
      <c r="A40">
        <v>29</v>
      </c>
      <c r="B40" s="46" t="s">
        <v>241</v>
      </c>
      <c r="C40" s="60"/>
      <c r="D40" s="63"/>
      <c r="E40" s="31"/>
      <c r="F40" s="31"/>
      <c r="G40" s="71"/>
      <c r="H40" s="71"/>
      <c r="I40" s="71"/>
      <c r="J40" s="71"/>
      <c r="K40" s="71">
        <v>8300</v>
      </c>
      <c r="L40" s="71">
        <v>8300</v>
      </c>
      <c r="M40" s="27"/>
    </row>
    <row r="41" spans="1:13">
      <c r="A41">
        <v>30</v>
      </c>
      <c r="B41" s="46" t="s">
        <v>242</v>
      </c>
      <c r="C41" s="60"/>
      <c r="D41" s="63"/>
      <c r="E41" s="31"/>
      <c r="F41" s="31"/>
      <c r="G41" s="71"/>
      <c r="H41" s="71"/>
      <c r="I41" s="71"/>
      <c r="J41" s="71"/>
      <c r="K41" s="71">
        <v>8300</v>
      </c>
      <c r="L41" s="71">
        <v>8300</v>
      </c>
      <c r="M41" s="27"/>
    </row>
    <row r="42" spans="1:13">
      <c r="A42">
        <v>31</v>
      </c>
      <c r="B42" s="46"/>
      <c r="C42" s="60"/>
      <c r="D42" s="63"/>
      <c r="E42" s="31"/>
      <c r="F42" s="31"/>
      <c r="G42" s="71"/>
      <c r="H42" s="71"/>
      <c r="I42" s="71"/>
      <c r="J42" s="71"/>
      <c r="K42" s="71"/>
      <c r="L42" s="27"/>
      <c r="M42" s="27"/>
    </row>
    <row r="43" spans="1:13">
      <c r="B43" s="46"/>
      <c r="C43" s="60"/>
      <c r="D43" s="63"/>
      <c r="E43" s="31"/>
      <c r="F43" s="31"/>
      <c r="G43" s="71"/>
      <c r="H43" s="71"/>
      <c r="I43" s="71"/>
      <c r="J43" s="71"/>
      <c r="K43" s="71"/>
      <c r="L43" s="27"/>
      <c r="M43" s="27"/>
    </row>
    <row r="44" spans="1:13">
      <c r="B44" s="55" t="s">
        <v>12</v>
      </c>
      <c r="C44" s="56">
        <f>SUM(C9:C29)</f>
        <v>194000</v>
      </c>
      <c r="D44" s="64">
        <v>160000</v>
      </c>
      <c r="E44" s="32">
        <f>SUM(E9:E38)</f>
        <v>180000</v>
      </c>
      <c r="F44" s="32">
        <f>SUM(F9:F38)</f>
        <v>182594</v>
      </c>
      <c r="G44" s="74">
        <f>SUM(G9:G38)</f>
        <v>199200</v>
      </c>
      <c r="H44" s="74">
        <f>SUM(H9:H38)</f>
        <v>224094</v>
      </c>
      <c r="I44" s="74">
        <f>SUM(I9:I38)</f>
        <v>224094</v>
      </c>
      <c r="J44" s="74">
        <f>SUM(J9:J39)</f>
        <v>232394</v>
      </c>
      <c r="K44" s="74">
        <f>SUM(K9:K41)</f>
        <v>248994</v>
      </c>
      <c r="L44" s="74">
        <f>SUM(L9:L41)</f>
        <v>240694</v>
      </c>
      <c r="M44" s="27"/>
    </row>
    <row r="45" spans="1:13">
      <c r="B45" s="11"/>
      <c r="C45" s="33"/>
      <c r="D45" s="65"/>
      <c r="E45" s="12"/>
      <c r="F45" s="12"/>
      <c r="G45" s="12"/>
      <c r="H45" s="12"/>
      <c r="I45" s="12"/>
      <c r="J45" s="12"/>
      <c r="K45" s="12"/>
      <c r="L45" s="27"/>
      <c r="M45" s="27"/>
    </row>
    <row r="46" spans="1:13">
      <c r="D46" s="27"/>
      <c r="L46" s="27"/>
      <c r="M46" s="27"/>
    </row>
    <row r="47" spans="1:13">
      <c r="G47">
        <f>G44/3</f>
        <v>66400</v>
      </c>
      <c r="H47" s="86">
        <f>H44/3</f>
        <v>74698</v>
      </c>
      <c r="I47" s="86">
        <f>I44/3</f>
        <v>74698</v>
      </c>
      <c r="J47" s="86">
        <f>J44/3</f>
        <v>77464.666666666672</v>
      </c>
      <c r="K47" s="86">
        <f>K44/3</f>
        <v>82998</v>
      </c>
      <c r="L47" s="27"/>
      <c r="M47" s="27"/>
    </row>
    <row r="48" spans="1:13">
      <c r="C48" s="27"/>
      <c r="K48" s="27"/>
    </row>
    <row r="52" spans="3:3">
      <c r="C52" s="27"/>
    </row>
  </sheetData>
  <mergeCells count="1">
    <mergeCell ref="B2:F4"/>
  </mergeCells>
  <phoneticPr fontId="32" type="noConversion"/>
  <pageMargins left="0.75" right="0.75" top="1" bottom="1" header="0.3" footer="0.3"/>
  <pageSetup paperSize="9" orientation="portrait" horizontalDpi="1200" verticalDpi="1200"/>
  <ignoredErrors>
    <ignoredError sqref="E44:G44" emptyCellReference="1"/>
  </ignoredErrors>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S21"/>
  <sheetViews>
    <sheetView topLeftCell="A2" zoomScale="95" zoomScaleNormal="95" workbookViewId="0">
      <selection activeCell="O12" sqref="O12"/>
    </sheetView>
  </sheetViews>
  <sheetFormatPr baseColWidth="10" defaultRowHeight="15"/>
  <cols>
    <col min="3" max="3" width="35.1640625" customWidth="1"/>
    <col min="9" max="11" width="4" customWidth="1"/>
    <col min="12" max="12" width="4.33203125" customWidth="1"/>
    <col min="13" max="17" width="11" customWidth="1"/>
    <col min="18" max="18" width="30.5" customWidth="1"/>
    <col min="19" max="19" width="28" customWidth="1"/>
  </cols>
  <sheetData>
    <row r="3" spans="2:19">
      <c r="C3" s="195" t="s">
        <v>187</v>
      </c>
      <c r="D3" s="163"/>
      <c r="E3" s="163"/>
      <c r="F3" s="163"/>
      <c r="G3" s="163"/>
      <c r="H3" s="163"/>
    </row>
    <row r="5" spans="2:19">
      <c r="C5" s="196" t="s">
        <v>249</v>
      </c>
      <c r="D5" s="159"/>
      <c r="E5" s="159"/>
    </row>
    <row r="7" spans="2:19">
      <c r="B7" s="351" t="s">
        <v>1</v>
      </c>
      <c r="C7" s="352"/>
      <c r="D7" s="5" t="s">
        <v>3</v>
      </c>
      <c r="E7" s="6" t="s">
        <v>122</v>
      </c>
      <c r="F7" s="36" t="s">
        <v>123</v>
      </c>
      <c r="G7" s="36" t="s">
        <v>124</v>
      </c>
      <c r="H7" s="242"/>
      <c r="I7" s="375" t="s">
        <v>125</v>
      </c>
      <c r="J7" s="376"/>
      <c r="K7" s="376"/>
      <c r="L7" s="377"/>
      <c r="M7" s="378" t="s">
        <v>126</v>
      </c>
      <c r="N7" s="378"/>
      <c r="O7" s="378"/>
      <c r="P7" s="378"/>
      <c r="Q7" s="378"/>
      <c r="R7" s="197" t="s">
        <v>294</v>
      </c>
      <c r="S7" s="197" t="s">
        <v>294</v>
      </c>
    </row>
    <row r="8" spans="2:19" ht="57">
      <c r="B8" s="353"/>
      <c r="C8" s="354"/>
      <c r="D8" s="8" t="s">
        <v>4</v>
      </c>
      <c r="E8" s="198" t="s">
        <v>127</v>
      </c>
      <c r="F8" s="14" t="s">
        <v>179</v>
      </c>
      <c r="G8" s="14" t="s">
        <v>129</v>
      </c>
      <c r="H8" s="243" t="s">
        <v>191</v>
      </c>
      <c r="I8" s="160" t="s">
        <v>130</v>
      </c>
      <c r="J8" s="161"/>
      <c r="K8" s="162"/>
      <c r="L8" s="161"/>
      <c r="M8" s="199"/>
      <c r="N8" s="200"/>
      <c r="O8" s="200"/>
      <c r="P8" s="200"/>
      <c r="Q8" s="201"/>
      <c r="R8" s="202" t="s">
        <v>185</v>
      </c>
      <c r="S8" s="202"/>
    </row>
    <row r="9" spans="2:19">
      <c r="B9" s="355"/>
      <c r="C9" s="356"/>
      <c r="D9" s="12"/>
      <c r="E9" s="13"/>
      <c r="F9" s="66" t="s">
        <v>6</v>
      </c>
      <c r="G9" s="66" t="s">
        <v>6</v>
      </c>
      <c r="H9" s="66"/>
      <c r="I9" s="15" t="s">
        <v>131</v>
      </c>
      <c r="J9" s="15" t="s">
        <v>8</v>
      </c>
      <c r="K9" s="15" t="s">
        <v>9</v>
      </c>
      <c r="L9" s="15" t="s">
        <v>24</v>
      </c>
      <c r="M9" s="203" t="s">
        <v>131</v>
      </c>
      <c r="N9" s="204" t="s">
        <v>132</v>
      </c>
      <c r="O9" s="6" t="s">
        <v>133</v>
      </c>
      <c r="P9" s="6" t="s">
        <v>168</v>
      </c>
      <c r="Q9" s="205" t="s">
        <v>134</v>
      </c>
      <c r="R9" s="12"/>
      <c r="S9" s="12"/>
    </row>
    <row r="10" spans="2:19">
      <c r="B10" s="94">
        <v>3</v>
      </c>
      <c r="C10" s="90" t="s">
        <v>76</v>
      </c>
      <c r="D10" s="87"/>
      <c r="E10" s="88"/>
      <c r="F10" s="101">
        <f>SUM(F11:F16)</f>
        <v>28.200000000000003</v>
      </c>
      <c r="G10" s="101">
        <f>SUM(G11:G15)</f>
        <v>16.399999999999999</v>
      </c>
      <c r="H10" s="101"/>
      <c r="I10" s="15"/>
      <c r="J10" s="15"/>
      <c r="K10" s="15"/>
      <c r="L10" s="15"/>
      <c r="M10" s="15"/>
      <c r="N10" s="204"/>
      <c r="O10" s="15"/>
      <c r="P10" s="96">
        <f>SUM(P11:P15)</f>
        <v>29.32</v>
      </c>
      <c r="Q10" s="96">
        <f>SUM(Q11:Q16)</f>
        <v>15.28</v>
      </c>
      <c r="R10" s="94"/>
      <c r="S10" s="94"/>
    </row>
    <row r="11" spans="2:19" ht="32">
      <c r="B11" s="94">
        <f>SUM(B10+0.1)</f>
        <v>3.1</v>
      </c>
      <c r="C11" s="167" t="s">
        <v>135</v>
      </c>
      <c r="D11" s="206" t="s">
        <v>13</v>
      </c>
      <c r="E11" s="168"/>
      <c r="F11" s="211">
        <f>(12*650)/1000</f>
        <v>7.8</v>
      </c>
      <c r="G11" s="19"/>
      <c r="H11" s="165"/>
      <c r="I11" s="207"/>
      <c r="J11" s="207"/>
      <c r="K11" s="207"/>
      <c r="L11" s="18"/>
      <c r="M11" s="18">
        <f>1.3+0.325+0.65+0.325</f>
        <v>2.6</v>
      </c>
      <c r="N11" s="18">
        <f>0.65+0.975+0.325</f>
        <v>1.95</v>
      </c>
      <c r="O11" s="18">
        <f>0.65+0.975+0.325</f>
        <v>1.95</v>
      </c>
      <c r="P11" s="18">
        <f>M11+N11+O11</f>
        <v>6.5</v>
      </c>
      <c r="Q11" s="19">
        <f>F11-P11</f>
        <v>1.2999999999999998</v>
      </c>
      <c r="R11" s="208" t="s">
        <v>110</v>
      </c>
      <c r="S11" s="330" t="s">
        <v>303</v>
      </c>
    </row>
    <row r="12" spans="2:19" ht="16">
      <c r="B12" s="94">
        <v>3.3</v>
      </c>
      <c r="C12" s="167" t="s">
        <v>136</v>
      </c>
      <c r="D12" s="206" t="s">
        <v>13</v>
      </c>
      <c r="E12" s="168"/>
      <c r="F12" s="211"/>
      <c r="G12" s="19">
        <v>5.2</v>
      </c>
      <c r="H12" s="165"/>
      <c r="I12" s="209"/>
      <c r="J12" s="209"/>
      <c r="K12" s="209"/>
      <c r="L12" s="15"/>
      <c r="M12" s="18">
        <v>0.65</v>
      </c>
      <c r="N12" s="18">
        <f>0.325+3.25</f>
        <v>3.5750000000000002</v>
      </c>
      <c r="O12" s="18">
        <v>0.97499999999999998</v>
      </c>
      <c r="P12" s="18">
        <f>M12+N12+O12</f>
        <v>5.2</v>
      </c>
      <c r="Q12" s="19">
        <f>G12-P12</f>
        <v>0</v>
      </c>
      <c r="R12" s="208" t="s">
        <v>137</v>
      </c>
      <c r="S12" s="330" t="s">
        <v>303</v>
      </c>
    </row>
    <row r="13" spans="2:19" s="109" customFormat="1" ht="75" customHeight="1">
      <c r="B13" s="164">
        <v>3.5</v>
      </c>
      <c r="C13" s="164" t="s">
        <v>93</v>
      </c>
      <c r="D13" s="206" t="s">
        <v>13</v>
      </c>
      <c r="E13" s="211"/>
      <c r="F13" s="211"/>
      <c r="G13" s="19">
        <v>5.2</v>
      </c>
      <c r="H13" s="165"/>
      <c r="I13" s="331"/>
      <c r="J13" s="331"/>
      <c r="K13" s="331"/>
      <c r="L13" s="203"/>
      <c r="M13" s="19"/>
      <c r="N13" s="19"/>
      <c r="O13" s="19"/>
      <c r="P13" s="19">
        <f>H13+M13+N13+O13</f>
        <v>0</v>
      </c>
      <c r="Q13" s="19">
        <f>G13-SUM(M13:P13)</f>
        <v>5.2</v>
      </c>
      <c r="R13" s="210" t="s">
        <v>188</v>
      </c>
      <c r="S13" s="320" t="s">
        <v>304</v>
      </c>
    </row>
    <row r="14" spans="2:19" ht="69" customHeight="1">
      <c r="B14" s="94">
        <v>3.6</v>
      </c>
      <c r="C14" s="167" t="s">
        <v>189</v>
      </c>
      <c r="D14" s="206" t="s">
        <v>92</v>
      </c>
      <c r="E14" s="211"/>
      <c r="F14" s="211">
        <v>9</v>
      </c>
      <c r="G14" s="19">
        <v>6</v>
      </c>
      <c r="H14" s="165"/>
      <c r="I14" s="209"/>
      <c r="J14" s="209"/>
      <c r="K14" s="209"/>
      <c r="L14" s="15"/>
      <c r="M14" s="18"/>
      <c r="N14" s="18"/>
      <c r="O14" s="18">
        <f>17.55</f>
        <v>17.55</v>
      </c>
      <c r="P14" s="18">
        <f>H14+M14+N14+O14</f>
        <v>17.55</v>
      </c>
      <c r="Q14" s="19">
        <f>G14+F14-P14</f>
        <v>-2.5500000000000007</v>
      </c>
      <c r="R14" s="212" t="s">
        <v>190</v>
      </c>
      <c r="S14" s="326" t="s">
        <v>289</v>
      </c>
    </row>
    <row r="15" spans="2:19">
      <c r="B15" s="94">
        <v>3.7</v>
      </c>
      <c r="C15" s="167" t="s">
        <v>94</v>
      </c>
      <c r="D15" s="206"/>
      <c r="E15" s="211"/>
      <c r="F15" s="211">
        <v>1</v>
      </c>
      <c r="G15" s="19"/>
      <c r="H15" s="165"/>
      <c r="I15" s="15"/>
      <c r="J15" s="15"/>
      <c r="K15" s="15"/>
      <c r="L15" s="15"/>
      <c r="M15" s="18">
        <v>7.0000000000000007E-2</v>
      </c>
      <c r="N15" s="18"/>
      <c r="O15" s="18"/>
      <c r="P15" s="18">
        <f>M15+N15+O15</f>
        <v>7.0000000000000007E-2</v>
      </c>
      <c r="Q15" s="19">
        <f>F15-P15</f>
        <v>0.92999999999999994</v>
      </c>
      <c r="R15" s="212"/>
      <c r="S15" s="212"/>
    </row>
    <row r="16" spans="2:19" s="335" customFormat="1" ht="48">
      <c r="B16" s="332">
        <v>3.8</v>
      </c>
      <c r="C16" s="319" t="s">
        <v>248</v>
      </c>
      <c r="D16" s="224" t="s">
        <v>13</v>
      </c>
      <c r="E16" s="117"/>
      <c r="F16" s="117">
        <v>10.4</v>
      </c>
      <c r="G16" s="19"/>
      <c r="H16" s="165"/>
      <c r="I16" s="333"/>
      <c r="J16" s="333"/>
      <c r="K16" s="333"/>
      <c r="L16" s="334"/>
      <c r="M16" s="19"/>
      <c r="N16" s="19"/>
      <c r="O16" s="19"/>
      <c r="P16" s="19">
        <f>H16+M16+N16+O16</f>
        <v>0</v>
      </c>
      <c r="Q16" s="19">
        <f>F16-P16</f>
        <v>10.4</v>
      </c>
      <c r="R16" s="319" t="s">
        <v>230</v>
      </c>
      <c r="S16" s="336" t="s">
        <v>305</v>
      </c>
    </row>
    <row r="18" spans="3:19" ht="16">
      <c r="R18" s="324" t="s">
        <v>291</v>
      </c>
      <c r="S18" s="27">
        <f>Q13</f>
        <v>5.2</v>
      </c>
    </row>
    <row r="19" spans="3:19" ht="16">
      <c r="C19" t="s">
        <v>280</v>
      </c>
      <c r="R19" s="324" t="s">
        <v>292</v>
      </c>
      <c r="S19" s="27">
        <f>Q16</f>
        <v>10.4</v>
      </c>
    </row>
    <row r="20" spans="3:19" ht="16">
      <c r="F20" s="27"/>
      <c r="G20" s="27"/>
      <c r="R20" s="324" t="s">
        <v>293</v>
      </c>
      <c r="S20" s="27">
        <f>F10+G10-S18-S19</f>
        <v>29</v>
      </c>
    </row>
    <row r="21" spans="3:19">
      <c r="C21" t="s">
        <v>281</v>
      </c>
    </row>
  </sheetData>
  <mergeCells count="3">
    <mergeCell ref="B7:C9"/>
    <mergeCell ref="I7:L7"/>
    <mergeCell ref="M7:Q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3:S24"/>
  <sheetViews>
    <sheetView topLeftCell="C6" zoomScale="98" zoomScaleNormal="98" workbookViewId="0">
      <selection activeCell="O14" sqref="O14"/>
    </sheetView>
  </sheetViews>
  <sheetFormatPr baseColWidth="10" defaultRowHeight="15"/>
  <cols>
    <col min="3" max="3" width="44.1640625" customWidth="1"/>
    <col min="6" max="6" width="12.5" customWidth="1"/>
    <col min="8" max="8" width="7.33203125" customWidth="1"/>
    <col min="9" max="9" width="5.1640625" customWidth="1"/>
    <col min="10" max="10" width="5.83203125" customWidth="1"/>
    <col min="11" max="11" width="6" customWidth="1"/>
    <col min="12" max="12" width="4.1640625" customWidth="1"/>
    <col min="18" max="18" width="32.6640625" customWidth="1"/>
    <col min="19" max="19" width="26.6640625" customWidth="1"/>
  </cols>
  <sheetData>
    <row r="3" spans="2:19">
      <c r="C3" s="158" t="s">
        <v>180</v>
      </c>
      <c r="G3" s="158"/>
      <c r="H3" s="158"/>
      <c r="I3" s="163"/>
      <c r="J3" s="163"/>
      <c r="K3" s="163"/>
      <c r="L3" s="163"/>
    </row>
    <row r="5" spans="2:19">
      <c r="C5" s="213" t="s">
        <v>250</v>
      </c>
      <c r="J5" s="159"/>
      <c r="K5" s="159"/>
      <c r="L5" s="159"/>
    </row>
    <row r="7" spans="2:19">
      <c r="B7" s="351" t="s">
        <v>1</v>
      </c>
      <c r="C7" s="352"/>
      <c r="D7" s="5" t="s">
        <v>3</v>
      </c>
      <c r="E7" s="6" t="s">
        <v>122</v>
      </c>
      <c r="F7" s="36" t="s">
        <v>123</v>
      </c>
      <c r="G7" s="36" t="s">
        <v>124</v>
      </c>
      <c r="H7" s="242"/>
      <c r="I7" s="375" t="s">
        <v>125</v>
      </c>
      <c r="J7" s="376"/>
      <c r="K7" s="376"/>
      <c r="L7" s="377"/>
      <c r="M7" s="378" t="s">
        <v>126</v>
      </c>
      <c r="N7" s="378"/>
      <c r="O7" s="378"/>
      <c r="P7" s="378"/>
      <c r="Q7" s="378"/>
      <c r="R7" s="197" t="s">
        <v>294</v>
      </c>
      <c r="S7" s="197" t="s">
        <v>295</v>
      </c>
    </row>
    <row r="8" spans="2:19" ht="43">
      <c r="B8" s="353"/>
      <c r="C8" s="354"/>
      <c r="D8" s="8" t="s">
        <v>4</v>
      </c>
      <c r="E8" s="198" t="s">
        <v>127</v>
      </c>
      <c r="F8" s="14" t="s">
        <v>179</v>
      </c>
      <c r="G8" s="14" t="s">
        <v>129</v>
      </c>
      <c r="H8" s="243" t="s">
        <v>181</v>
      </c>
      <c r="I8" s="160" t="s">
        <v>130</v>
      </c>
      <c r="J8" s="161"/>
      <c r="K8" s="162"/>
      <c r="L8" s="161"/>
      <c r="M8" s="199"/>
      <c r="N8" s="200"/>
      <c r="O8" s="200"/>
      <c r="P8" s="200"/>
      <c r="Q8" s="201"/>
      <c r="R8" s="202" t="s">
        <v>185</v>
      </c>
      <c r="S8" s="202"/>
    </row>
    <row r="9" spans="2:19">
      <c r="B9" s="355"/>
      <c r="C9" s="356"/>
      <c r="D9" s="12"/>
      <c r="E9" s="13"/>
      <c r="F9" s="66" t="s">
        <v>6</v>
      </c>
      <c r="G9" s="66" t="s">
        <v>6</v>
      </c>
      <c r="H9" s="66"/>
      <c r="I9" s="15" t="s">
        <v>131</v>
      </c>
      <c r="J9" s="15" t="s">
        <v>8</v>
      </c>
      <c r="K9" s="15" t="s">
        <v>9</v>
      </c>
      <c r="L9" s="15" t="s">
        <v>24</v>
      </c>
      <c r="M9" s="203" t="s">
        <v>131</v>
      </c>
      <c r="N9" s="204" t="s">
        <v>132</v>
      </c>
      <c r="O9" s="6" t="s">
        <v>133</v>
      </c>
      <c r="P9" s="6" t="s">
        <v>171</v>
      </c>
      <c r="Q9" s="205" t="s">
        <v>134</v>
      </c>
      <c r="R9" s="12"/>
      <c r="S9" s="12"/>
    </row>
    <row r="10" spans="2:19">
      <c r="B10" s="95">
        <v>4</v>
      </c>
      <c r="C10" s="90" t="s">
        <v>63</v>
      </c>
      <c r="D10" s="87"/>
      <c r="E10" s="88"/>
      <c r="F10" s="101">
        <f>SUM(F11:F19)</f>
        <v>29.09</v>
      </c>
      <c r="G10" s="101">
        <f>SUM(G11:G19)</f>
        <v>6.5</v>
      </c>
      <c r="H10" s="101"/>
      <c r="I10" s="214"/>
      <c r="J10" s="214"/>
      <c r="K10" s="214"/>
      <c r="L10" s="214"/>
      <c r="M10" s="15"/>
      <c r="N10" s="204"/>
      <c r="O10" s="15"/>
      <c r="P10" s="96">
        <f>SUM(P11:P19)</f>
        <v>19.411999999999999</v>
      </c>
      <c r="Q10" s="96">
        <f>SUM(Q11:Q19)</f>
        <v>16.178000000000001</v>
      </c>
      <c r="R10" s="94"/>
      <c r="S10" s="94"/>
    </row>
    <row r="11" spans="2:19" ht="32">
      <c r="B11" s="94">
        <f>SUM(B10+0.1)</f>
        <v>4.0999999999999996</v>
      </c>
      <c r="C11" s="215" t="s">
        <v>138</v>
      </c>
      <c r="D11" s="206" t="s">
        <v>13</v>
      </c>
      <c r="E11" s="168"/>
      <c r="F11" s="165">
        <f>(12*650)/1000</f>
        <v>7.8</v>
      </c>
      <c r="G11" s="165"/>
      <c r="H11" s="165"/>
      <c r="I11" s="216"/>
      <c r="J11" s="216"/>
      <c r="K11" s="216"/>
      <c r="L11" s="217"/>
      <c r="M11" s="18">
        <f>1.3+0.163+0.65+0.325</f>
        <v>2.4380000000000002</v>
      </c>
      <c r="N11" s="18">
        <f>0.975+0.325+0.325</f>
        <v>1.625</v>
      </c>
      <c r="O11" s="18">
        <f>0.975+0.325</f>
        <v>1.3</v>
      </c>
      <c r="P11" s="18">
        <f>H11+SUM(M11:O11)</f>
        <v>5.3630000000000004</v>
      </c>
      <c r="Q11" s="19">
        <f>F11-P11</f>
        <v>2.4369999999999994</v>
      </c>
      <c r="R11" s="208" t="s">
        <v>111</v>
      </c>
      <c r="S11" s="330" t="s">
        <v>289</v>
      </c>
    </row>
    <row r="12" spans="2:19" ht="16">
      <c r="B12" s="94">
        <f>SUM(B11+0.1)</f>
        <v>4.1999999999999993</v>
      </c>
      <c r="C12" s="215" t="s">
        <v>61</v>
      </c>
      <c r="D12" s="206" t="s">
        <v>13</v>
      </c>
      <c r="E12" s="168"/>
      <c r="F12" s="165">
        <f>5*0.65</f>
        <v>3.25</v>
      </c>
      <c r="G12" s="165"/>
      <c r="H12" s="165"/>
      <c r="I12" s="216"/>
      <c r="J12" s="216"/>
      <c r="K12" s="216"/>
      <c r="L12" s="217"/>
      <c r="M12" s="18">
        <f>0.163+0.65+1.625</f>
        <v>2.4380000000000002</v>
      </c>
      <c r="N12" s="18">
        <f>0.812</f>
        <v>0.81200000000000006</v>
      </c>
      <c r="O12" s="18"/>
      <c r="P12" s="18">
        <f t="shared" ref="P12:P16" si="0">H12+SUM(M12:O12)</f>
        <v>3.25</v>
      </c>
      <c r="Q12" s="19">
        <f t="shared" ref="Q12:Q14" si="1">F12-P12</f>
        <v>0</v>
      </c>
      <c r="R12" s="208" t="s">
        <v>139</v>
      </c>
      <c r="S12" s="330" t="s">
        <v>289</v>
      </c>
    </row>
    <row r="13" spans="2:19" ht="29">
      <c r="B13" s="94">
        <f>SUM(B12+0.1)</f>
        <v>4.2999999999999989</v>
      </c>
      <c r="C13" s="215" t="s">
        <v>62</v>
      </c>
      <c r="D13" s="206" t="s">
        <v>27</v>
      </c>
      <c r="E13" s="219" t="s">
        <v>140</v>
      </c>
      <c r="F13" s="220">
        <v>1.04</v>
      </c>
      <c r="G13" s="221"/>
      <c r="H13" s="221"/>
      <c r="I13" s="216"/>
      <c r="J13" s="216"/>
      <c r="K13" s="216"/>
      <c r="L13" s="217"/>
      <c r="M13" s="18"/>
      <c r="N13" s="18"/>
      <c r="O13" s="18">
        <v>2.88</v>
      </c>
      <c r="P13" s="18">
        <f t="shared" si="0"/>
        <v>2.88</v>
      </c>
      <c r="Q13" s="19">
        <f t="shared" si="1"/>
        <v>-1.8399999999999999</v>
      </c>
      <c r="R13" s="208" t="s">
        <v>141</v>
      </c>
      <c r="S13" s="208"/>
    </row>
    <row r="14" spans="2:19">
      <c r="B14" s="94">
        <v>4.7</v>
      </c>
      <c r="C14" s="215" t="s">
        <v>95</v>
      </c>
      <c r="D14" s="222" t="s">
        <v>38</v>
      </c>
      <c r="E14" s="168"/>
      <c r="F14" s="221">
        <v>0.5</v>
      </c>
      <c r="G14" s="221"/>
      <c r="H14" s="221"/>
      <c r="I14" s="216"/>
      <c r="J14" s="216"/>
      <c r="K14" s="216"/>
      <c r="L14" s="214"/>
      <c r="M14" s="18">
        <f>0.078+0.022</f>
        <v>0.1</v>
      </c>
      <c r="N14" s="204"/>
      <c r="O14" s="18">
        <v>0.24199999999999999</v>
      </c>
      <c r="P14" s="18">
        <f t="shared" si="0"/>
        <v>0.34199999999999997</v>
      </c>
      <c r="Q14" s="19">
        <f t="shared" si="1"/>
        <v>0.15800000000000003</v>
      </c>
      <c r="R14" s="212"/>
      <c r="S14" s="212"/>
    </row>
    <row r="15" spans="2:19" ht="80">
      <c r="B15" s="94">
        <f>SUM(B14+0.1)</f>
        <v>4.8</v>
      </c>
      <c r="C15" s="215" t="s">
        <v>142</v>
      </c>
      <c r="D15" s="222" t="s">
        <v>13</v>
      </c>
      <c r="E15" s="168"/>
      <c r="F15" s="220"/>
      <c r="G15" s="220">
        <f>10*650/1000</f>
        <v>6.5</v>
      </c>
      <c r="H15" s="221"/>
      <c r="I15" s="216"/>
      <c r="J15" s="216"/>
      <c r="K15" s="216"/>
      <c r="L15" s="214"/>
      <c r="M15" s="18">
        <f>0.36+0.325+0.325</f>
        <v>1.01</v>
      </c>
      <c r="N15" s="18">
        <f>0.325+0.67</f>
        <v>0.99500000000000011</v>
      </c>
      <c r="O15" s="18">
        <v>0.32500000000000001</v>
      </c>
      <c r="P15" s="18">
        <f t="shared" si="0"/>
        <v>2.33</v>
      </c>
      <c r="Q15" s="19">
        <f>G15-P15</f>
        <v>4.17</v>
      </c>
      <c r="R15" s="212" t="s">
        <v>244</v>
      </c>
      <c r="S15" s="326" t="s">
        <v>300</v>
      </c>
    </row>
    <row r="16" spans="2:19" s="109" customFormat="1" ht="48">
      <c r="B16" s="164">
        <v>4.1100000000000003</v>
      </c>
      <c r="C16" s="274" t="s">
        <v>243</v>
      </c>
      <c r="D16" s="222" t="s">
        <v>92</v>
      </c>
      <c r="E16" s="168"/>
      <c r="F16" s="221">
        <v>3.25</v>
      </c>
      <c r="G16" s="221"/>
      <c r="H16" s="221"/>
      <c r="I16" s="216"/>
      <c r="J16" s="216"/>
      <c r="K16" s="216"/>
      <c r="L16" s="327"/>
      <c r="M16" s="19">
        <f>0.325</f>
        <v>0.32500000000000001</v>
      </c>
      <c r="N16" s="19">
        <f>0.162</f>
        <v>0.16200000000000001</v>
      </c>
      <c r="O16" s="203"/>
      <c r="P16" s="19">
        <f t="shared" si="0"/>
        <v>0.48699999999999999</v>
      </c>
      <c r="Q16" s="19">
        <f>F16-P16</f>
        <v>2.7629999999999999</v>
      </c>
      <c r="R16" s="210"/>
      <c r="S16" s="325" t="s">
        <v>314</v>
      </c>
    </row>
    <row r="17" spans="2:19" s="109" customFormat="1" ht="64">
      <c r="B17" s="164">
        <v>4.12</v>
      </c>
      <c r="C17" s="215" t="s">
        <v>178</v>
      </c>
      <c r="D17" s="206" t="s">
        <v>92</v>
      </c>
      <c r="E17" s="168"/>
      <c r="F17" s="165">
        <v>10</v>
      </c>
      <c r="G17" s="165"/>
      <c r="H17" s="165"/>
      <c r="I17" s="216"/>
      <c r="J17" s="216"/>
      <c r="K17" s="216"/>
      <c r="L17" s="328"/>
      <c r="M17" s="19"/>
      <c r="N17" s="19"/>
      <c r="O17" s="19">
        <v>4.1100000000000003</v>
      </c>
      <c r="P17" s="19">
        <f t="shared" ref="P17:P19" si="2">H17+SUM(M17:O17)</f>
        <v>4.1100000000000003</v>
      </c>
      <c r="Q17" s="19">
        <f>F17-P17</f>
        <v>5.89</v>
      </c>
      <c r="R17" s="322" t="s">
        <v>186</v>
      </c>
      <c r="S17" s="329" t="s">
        <v>301</v>
      </c>
    </row>
    <row r="18" spans="2:19" s="109" customFormat="1" ht="32">
      <c r="B18" s="164">
        <v>4.13</v>
      </c>
      <c r="C18" s="274" t="s">
        <v>182</v>
      </c>
      <c r="D18" s="206" t="s">
        <v>184</v>
      </c>
      <c r="E18" s="168"/>
      <c r="F18" s="165">
        <v>3.25</v>
      </c>
      <c r="G18" s="165"/>
      <c r="H18" s="165"/>
      <c r="I18" s="216"/>
      <c r="J18" s="216"/>
      <c r="K18" s="216"/>
      <c r="L18" s="328"/>
      <c r="M18" s="19">
        <f>0.65</f>
        <v>0.65</v>
      </c>
      <c r="N18" s="19"/>
      <c r="O18" s="19"/>
      <c r="P18" s="19">
        <f t="shared" si="2"/>
        <v>0.65</v>
      </c>
      <c r="Q18" s="19">
        <f>F18-P18</f>
        <v>2.6</v>
      </c>
      <c r="R18" s="322" t="s">
        <v>302</v>
      </c>
      <c r="S18" s="329" t="s">
        <v>315</v>
      </c>
    </row>
    <row r="19" spans="2:19" ht="32">
      <c r="B19" s="94">
        <v>4.1399999999999997</v>
      </c>
      <c r="C19" s="274" t="s">
        <v>245</v>
      </c>
      <c r="D19" s="206"/>
      <c r="E19" s="168"/>
      <c r="F19" s="165">
        <v>0</v>
      </c>
      <c r="G19" s="165" t="s">
        <v>231</v>
      </c>
      <c r="H19" s="165"/>
      <c r="I19" s="216"/>
      <c r="J19" s="216"/>
      <c r="K19" s="216"/>
      <c r="L19" s="217"/>
      <c r="M19" s="18"/>
      <c r="N19" s="18"/>
      <c r="O19" s="18"/>
      <c r="P19" s="18">
        <f t="shared" si="2"/>
        <v>0</v>
      </c>
      <c r="Q19" s="19">
        <f>F19-P19</f>
        <v>0</v>
      </c>
      <c r="R19" s="208"/>
      <c r="S19" s="208"/>
    </row>
    <row r="20" spans="2:19">
      <c r="B20" s="94"/>
      <c r="C20" s="215"/>
      <c r="D20" s="206"/>
      <c r="E20" s="168"/>
      <c r="F20" s="165"/>
      <c r="G20" s="165"/>
      <c r="H20" s="165"/>
      <c r="I20" s="216"/>
      <c r="J20" s="216"/>
      <c r="K20" s="216"/>
      <c r="L20" s="217"/>
      <c r="M20" s="18"/>
      <c r="N20" s="18"/>
      <c r="O20" s="18"/>
      <c r="P20" s="18"/>
      <c r="Q20" s="19"/>
      <c r="R20" s="208"/>
      <c r="S20" s="208"/>
    </row>
    <row r="22" spans="2:19" ht="16">
      <c r="R22" s="324" t="s">
        <v>291</v>
      </c>
      <c r="S22">
        <f>1.3+1.63</f>
        <v>2.9299999999999997</v>
      </c>
    </row>
    <row r="23" spans="2:19" ht="16">
      <c r="R23" s="324" t="s">
        <v>292</v>
      </c>
      <c r="S23">
        <v>12</v>
      </c>
    </row>
    <row r="24" spans="2:19" ht="16">
      <c r="R24" s="324" t="s">
        <v>293</v>
      </c>
      <c r="S24" s="27">
        <f>F10+G10-S22-S23</f>
        <v>20.660000000000004</v>
      </c>
    </row>
  </sheetData>
  <mergeCells count="3">
    <mergeCell ref="B7:C9"/>
    <mergeCell ref="I7:L7"/>
    <mergeCell ref="M7:Q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S22"/>
  <sheetViews>
    <sheetView topLeftCell="B5" workbookViewId="0">
      <selection activeCell="O13" sqref="O13"/>
    </sheetView>
  </sheetViews>
  <sheetFormatPr baseColWidth="10" defaultRowHeight="15"/>
  <cols>
    <col min="3" max="3" width="37.83203125" customWidth="1"/>
    <col min="6" max="6" width="12.33203125" customWidth="1"/>
    <col min="9" max="10" width="3.5" customWidth="1"/>
    <col min="11" max="12" width="3.33203125" customWidth="1"/>
    <col min="18" max="18" width="26.33203125" customWidth="1"/>
    <col min="19" max="19" width="27.33203125" customWidth="1"/>
  </cols>
  <sheetData>
    <row r="3" spans="2:19">
      <c r="C3" s="195" t="s">
        <v>199</v>
      </c>
      <c r="I3" s="163"/>
      <c r="J3" s="163"/>
      <c r="K3" s="163"/>
      <c r="L3" s="163"/>
    </row>
    <row r="5" spans="2:19">
      <c r="C5" s="196" t="s">
        <v>214</v>
      </c>
      <c r="J5" s="159"/>
      <c r="K5" s="159"/>
      <c r="L5" s="159"/>
    </row>
    <row r="7" spans="2:19">
      <c r="B7" s="351" t="s">
        <v>1</v>
      </c>
      <c r="C7" s="352"/>
      <c r="D7" s="5" t="s">
        <v>3</v>
      </c>
      <c r="E7" s="6" t="s">
        <v>122</v>
      </c>
      <c r="F7" s="36" t="s">
        <v>123</v>
      </c>
      <c r="G7" s="36" t="s">
        <v>124</v>
      </c>
      <c r="H7" s="36"/>
      <c r="I7" s="378" t="s">
        <v>125</v>
      </c>
      <c r="J7" s="378"/>
      <c r="K7" s="378"/>
      <c r="L7" s="378"/>
      <c r="M7" s="378" t="s">
        <v>126</v>
      </c>
      <c r="N7" s="378"/>
      <c r="O7" s="378"/>
      <c r="P7" s="378"/>
      <c r="Q7" s="378"/>
      <c r="R7" s="197" t="s">
        <v>294</v>
      </c>
      <c r="S7" s="197" t="s">
        <v>295</v>
      </c>
    </row>
    <row r="8" spans="2:19" ht="29">
      <c r="B8" s="353"/>
      <c r="C8" s="354"/>
      <c r="D8" s="8" t="s">
        <v>4</v>
      </c>
      <c r="E8" s="9" t="s">
        <v>5</v>
      </c>
      <c r="F8" s="14" t="s">
        <v>179</v>
      </c>
      <c r="G8" s="14" t="s">
        <v>129</v>
      </c>
      <c r="H8" s="243" t="s">
        <v>198</v>
      </c>
      <c r="I8" s="160" t="s">
        <v>130</v>
      </c>
      <c r="J8" s="161"/>
      <c r="K8" s="162"/>
      <c r="L8" s="161"/>
      <c r="M8" s="199"/>
      <c r="N8" s="200"/>
      <c r="O8" s="200"/>
      <c r="P8" s="200"/>
      <c r="Q8" s="201"/>
      <c r="R8" s="202" t="s">
        <v>185</v>
      </c>
      <c r="S8" s="197"/>
    </row>
    <row r="9" spans="2:19">
      <c r="B9" s="355"/>
      <c r="C9" s="356"/>
      <c r="D9" s="12"/>
      <c r="E9" s="13"/>
      <c r="F9" s="66" t="s">
        <v>6</v>
      </c>
      <c r="G9" s="66" t="s">
        <v>6</v>
      </c>
      <c r="H9" s="66"/>
      <c r="I9" s="15" t="s">
        <v>131</v>
      </c>
      <c r="J9" s="15" t="s">
        <v>8</v>
      </c>
      <c r="K9" s="15" t="s">
        <v>9</v>
      </c>
      <c r="L9" s="15" t="s">
        <v>24</v>
      </c>
      <c r="M9" s="203" t="s">
        <v>131</v>
      </c>
      <c r="N9" s="204" t="s">
        <v>132</v>
      </c>
      <c r="O9" s="6" t="s">
        <v>133</v>
      </c>
      <c r="P9" s="6" t="s">
        <v>168</v>
      </c>
      <c r="Q9" s="205" t="s">
        <v>134</v>
      </c>
      <c r="R9" s="12"/>
      <c r="S9" s="94"/>
    </row>
    <row r="10" spans="2:19">
      <c r="B10" s="95">
        <v>5</v>
      </c>
      <c r="C10" s="90" t="s">
        <v>84</v>
      </c>
      <c r="D10" s="87"/>
      <c r="E10" s="88"/>
      <c r="F10" s="101">
        <f>SUM(F11:F18)</f>
        <v>36.799999999999997</v>
      </c>
      <c r="G10" s="101">
        <f>SUM(G11:G18)</f>
        <v>10.75</v>
      </c>
      <c r="H10" s="101"/>
      <c r="I10" s="15"/>
      <c r="J10" s="15"/>
      <c r="K10" s="15"/>
      <c r="L10" s="15"/>
      <c r="M10" s="15"/>
      <c r="N10" s="204"/>
      <c r="O10" s="15"/>
      <c r="P10" s="96">
        <f>SUM(P11:P18)</f>
        <v>21.9085</v>
      </c>
      <c r="Q10" s="96">
        <f>SUM(Q11:Q18)</f>
        <v>25.641499999999997</v>
      </c>
      <c r="R10" s="94"/>
      <c r="S10" s="212"/>
    </row>
    <row r="11" spans="2:19" ht="32">
      <c r="B11" s="94">
        <f>SUM(B10+0.1)</f>
        <v>5.0999999999999996</v>
      </c>
      <c r="C11" s="223" t="s">
        <v>143</v>
      </c>
      <c r="D11" s="224" t="s">
        <v>13</v>
      </c>
      <c r="E11" s="168"/>
      <c r="F11" s="165">
        <f>22*650/1000</f>
        <v>14.3</v>
      </c>
      <c r="G11" s="94"/>
      <c r="H11" s="227"/>
      <c r="I11" s="19"/>
      <c r="J11" s="225"/>
      <c r="K11" s="225"/>
      <c r="L11" s="19"/>
      <c r="M11" s="19">
        <f>0.569+3.413+0.731+0.325+0.325</f>
        <v>5.3630000000000004</v>
      </c>
      <c r="N11" s="19">
        <f>0.813+0.65+0.325</f>
        <v>1.788</v>
      </c>
      <c r="O11" s="19">
        <f>1.463+0.163+0.65</f>
        <v>2.2760000000000002</v>
      </c>
      <c r="P11" s="19">
        <f>H11+SUM(M11:O11)</f>
        <v>9.4270000000000014</v>
      </c>
      <c r="Q11" s="19">
        <f>F11-P11</f>
        <v>4.8729999999999993</v>
      </c>
      <c r="R11" s="208" t="s">
        <v>144</v>
      </c>
      <c r="S11" s="326" t="s">
        <v>289</v>
      </c>
    </row>
    <row r="12" spans="2:19" ht="32">
      <c r="B12" s="94">
        <f>SUM(B11+0.1)</f>
        <v>5.1999999999999993</v>
      </c>
      <c r="C12" s="223" t="s">
        <v>64</v>
      </c>
      <c r="D12" s="224" t="s">
        <v>13</v>
      </c>
      <c r="E12" s="168"/>
      <c r="F12" s="165">
        <v>6.5</v>
      </c>
      <c r="G12" s="94"/>
      <c r="H12" s="227"/>
      <c r="I12" s="19"/>
      <c r="J12" s="225"/>
      <c r="K12" s="225"/>
      <c r="L12" s="15"/>
      <c r="M12" s="19">
        <f>1.3+0.325+0.325+0.325+0.325</f>
        <v>2.6</v>
      </c>
      <c r="N12" s="19">
        <f>0.813+0.569+0.325</f>
        <v>1.7069999999999999</v>
      </c>
      <c r="O12" s="19">
        <f>0.325+0.325+0.325+0.0325</f>
        <v>1.0075000000000001</v>
      </c>
      <c r="P12" s="19">
        <f>H12+SUM(M12:O12)</f>
        <v>5.3145000000000007</v>
      </c>
      <c r="Q12" s="19">
        <f>F12-P12</f>
        <v>1.1854999999999993</v>
      </c>
      <c r="R12" s="208" t="s">
        <v>200</v>
      </c>
      <c r="S12" s="325" t="s">
        <v>296</v>
      </c>
    </row>
    <row r="13" spans="2:19" ht="16">
      <c r="B13" s="94">
        <v>5.7</v>
      </c>
      <c r="C13" s="223" t="s">
        <v>94</v>
      </c>
      <c r="D13" s="224" t="s">
        <v>13</v>
      </c>
      <c r="E13" s="168"/>
      <c r="F13" s="165">
        <v>1</v>
      </c>
      <c r="G13" s="94"/>
      <c r="H13" s="227"/>
      <c r="I13" s="19"/>
      <c r="J13" s="19"/>
      <c r="K13" s="19"/>
      <c r="L13" s="19"/>
      <c r="M13" s="19">
        <f>0.63+0.067</f>
        <v>0.69700000000000006</v>
      </c>
      <c r="N13" s="19"/>
      <c r="O13" s="19"/>
      <c r="P13" s="19">
        <f t="shared" ref="P13" si="0">H13+SUM(M13:O13)</f>
        <v>0.69700000000000006</v>
      </c>
      <c r="Q13" s="19">
        <f>F13-P13</f>
        <v>0.30299999999999994</v>
      </c>
      <c r="R13" s="208"/>
      <c r="S13" s="212"/>
    </row>
    <row r="14" spans="2:19" ht="62" customHeight="1">
      <c r="B14" s="94">
        <v>5.8</v>
      </c>
      <c r="C14" s="226" t="s">
        <v>145</v>
      </c>
      <c r="D14" s="224" t="s">
        <v>13</v>
      </c>
      <c r="E14" s="168"/>
      <c r="F14" s="165"/>
      <c r="G14" s="165">
        <v>3.25</v>
      </c>
      <c r="H14" s="227"/>
      <c r="I14" s="19"/>
      <c r="J14" s="225"/>
      <c r="K14" s="225"/>
      <c r="L14" s="15"/>
      <c r="M14" s="19"/>
      <c r="N14" s="19">
        <f>1.3+0.08</f>
        <v>1.3800000000000001</v>
      </c>
      <c r="O14" s="15"/>
      <c r="P14" s="19">
        <f>H14+SUM(M14:O14)</f>
        <v>1.3800000000000001</v>
      </c>
      <c r="Q14" s="19">
        <f>G14-P14</f>
        <v>1.8699999999999999</v>
      </c>
      <c r="R14" s="208" t="s">
        <v>202</v>
      </c>
      <c r="S14" s="326" t="s">
        <v>297</v>
      </c>
    </row>
    <row r="15" spans="2:19" ht="64">
      <c r="B15" s="94">
        <v>5.9</v>
      </c>
      <c r="C15" s="226" t="s">
        <v>201</v>
      </c>
      <c r="D15" s="224" t="s">
        <v>13</v>
      </c>
      <c r="E15" s="168"/>
      <c r="F15" s="165"/>
      <c r="G15" s="165">
        <v>6.5</v>
      </c>
      <c r="H15" s="227">
        <v>1.2</v>
      </c>
      <c r="I15" s="19"/>
      <c r="J15" s="225"/>
      <c r="K15" s="225"/>
      <c r="L15" s="15"/>
      <c r="M15" s="19"/>
      <c r="N15" s="19">
        <v>1</v>
      </c>
      <c r="O15" s="15"/>
      <c r="P15" s="19">
        <f>H15+SUM(M15:O15)</f>
        <v>2.2000000000000002</v>
      </c>
      <c r="Q15" s="19">
        <f>G15-P15</f>
        <v>4.3</v>
      </c>
      <c r="R15" s="208" t="s">
        <v>205</v>
      </c>
      <c r="S15" s="325" t="s">
        <v>298</v>
      </c>
    </row>
    <row r="16" spans="2:19" ht="64">
      <c r="B16" s="35">
        <v>5.0999999999999996</v>
      </c>
      <c r="C16" s="223" t="s">
        <v>147</v>
      </c>
      <c r="D16" s="224" t="s">
        <v>13</v>
      </c>
      <c r="E16" s="168"/>
      <c r="F16" s="165">
        <v>2</v>
      </c>
      <c r="G16" s="165">
        <v>1</v>
      </c>
      <c r="H16" s="227"/>
      <c r="I16" s="19"/>
      <c r="J16" s="19"/>
      <c r="K16" s="19"/>
      <c r="L16" s="19"/>
      <c r="M16" s="19">
        <f>1+1+0.87</f>
        <v>2.87</v>
      </c>
      <c r="N16" s="19"/>
      <c r="O16" s="19"/>
      <c r="P16" s="19">
        <f>H16+SUM(M16:O16)</f>
        <v>2.87</v>
      </c>
      <c r="Q16" s="19">
        <f>F16+G16-P16</f>
        <v>0.12999999999999989</v>
      </c>
      <c r="R16" s="208" t="s">
        <v>206</v>
      </c>
      <c r="S16" s="326" t="s">
        <v>299</v>
      </c>
    </row>
    <row r="17" spans="2:19" ht="51">
      <c r="B17" s="94">
        <v>5.12</v>
      </c>
      <c r="C17" s="226" t="s">
        <v>203</v>
      </c>
      <c r="D17" s="224" t="s">
        <v>13</v>
      </c>
      <c r="E17" s="168"/>
      <c r="F17" s="165">
        <v>6.5</v>
      </c>
      <c r="G17" s="165"/>
      <c r="H17" s="227"/>
      <c r="I17" s="19"/>
      <c r="J17" s="225"/>
      <c r="K17" s="225"/>
      <c r="L17" s="15"/>
      <c r="M17" s="19"/>
      <c r="N17" s="19">
        <v>0.02</v>
      </c>
      <c r="O17" s="15"/>
      <c r="P17" s="19">
        <f t="shared" ref="P17:P18" si="1">H17+SUM(M17:O17)</f>
        <v>0.02</v>
      </c>
      <c r="Q17" s="19">
        <f>F17-P17</f>
        <v>6.48</v>
      </c>
      <c r="R17" s="208" t="s">
        <v>146</v>
      </c>
      <c r="S17" s="325" t="s">
        <v>296</v>
      </c>
    </row>
    <row r="18" spans="2:19" ht="32">
      <c r="B18" s="94">
        <v>5.13</v>
      </c>
      <c r="C18" s="226" t="s">
        <v>204</v>
      </c>
      <c r="D18" s="224" t="s">
        <v>13</v>
      </c>
      <c r="E18" s="117"/>
      <c r="F18" s="165">
        <v>6.5</v>
      </c>
      <c r="G18" s="165"/>
      <c r="H18" s="227"/>
      <c r="I18" s="19"/>
      <c r="J18" s="225"/>
      <c r="K18" s="225"/>
      <c r="L18" s="15"/>
      <c r="M18" s="19"/>
      <c r="N18" s="19"/>
      <c r="O18" s="15"/>
      <c r="P18" s="19">
        <f t="shared" si="1"/>
        <v>0</v>
      </c>
      <c r="Q18" s="19">
        <f>F18-P18</f>
        <v>6.5</v>
      </c>
      <c r="R18" s="208" t="s">
        <v>146</v>
      </c>
      <c r="S18" s="320" t="s">
        <v>313</v>
      </c>
    </row>
    <row r="19" spans="2:19" ht="34">
      <c r="C19" s="305" t="s">
        <v>232</v>
      </c>
      <c r="G19" s="165"/>
    </row>
    <row r="20" spans="2:19" ht="16">
      <c r="R20" s="324" t="s">
        <v>291</v>
      </c>
      <c r="S20" s="27">
        <f>1.95+1.95</f>
        <v>3.9</v>
      </c>
    </row>
    <row r="21" spans="2:19" ht="16">
      <c r="R21" s="324" t="s">
        <v>292</v>
      </c>
      <c r="S21" s="27">
        <f>Q15+Q18</f>
        <v>10.8</v>
      </c>
    </row>
    <row r="22" spans="2:19" ht="16">
      <c r="R22" s="324" t="s">
        <v>293</v>
      </c>
      <c r="S22" s="27">
        <f>F10+G10-S20-S21</f>
        <v>32.849999999999994</v>
      </c>
    </row>
  </sheetData>
  <mergeCells count="3">
    <mergeCell ref="B7:C9"/>
    <mergeCell ref="I7:L7"/>
    <mergeCell ref="M7:Q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S28"/>
  <sheetViews>
    <sheetView topLeftCell="C2" zoomScale="91" zoomScaleNormal="91" workbookViewId="0">
      <selection activeCell="O13" sqref="O13"/>
    </sheetView>
  </sheetViews>
  <sheetFormatPr baseColWidth="10" defaultRowHeight="15"/>
  <cols>
    <col min="3" max="3" width="50.83203125" customWidth="1"/>
    <col min="9" max="12" width="4.1640625" customWidth="1"/>
    <col min="18" max="18" width="28" customWidth="1"/>
    <col min="19" max="19" width="27" customWidth="1"/>
  </cols>
  <sheetData>
    <row r="3" spans="2:19">
      <c r="C3" s="195" t="s">
        <v>177</v>
      </c>
      <c r="I3" s="163"/>
      <c r="J3" s="163"/>
      <c r="K3" s="163"/>
      <c r="L3" s="163"/>
    </row>
    <row r="5" spans="2:19">
      <c r="C5" s="196" t="s">
        <v>320</v>
      </c>
      <c r="I5" s="159"/>
      <c r="J5" s="159"/>
      <c r="K5" s="159"/>
    </row>
    <row r="7" spans="2:19">
      <c r="B7" s="351" t="s">
        <v>1</v>
      </c>
      <c r="C7" s="352"/>
      <c r="D7" s="5" t="s">
        <v>3</v>
      </c>
      <c r="E7" s="6" t="s">
        <v>122</v>
      </c>
      <c r="F7" s="36" t="s">
        <v>123</v>
      </c>
      <c r="G7" s="36" t="s">
        <v>124</v>
      </c>
      <c r="H7" s="36"/>
      <c r="I7" s="378" t="s">
        <v>125</v>
      </c>
      <c r="J7" s="378"/>
      <c r="K7" s="378"/>
      <c r="L7" s="378"/>
      <c r="M7" s="378" t="s">
        <v>126</v>
      </c>
      <c r="N7" s="378"/>
      <c r="O7" s="378"/>
      <c r="P7" s="378"/>
      <c r="Q7" s="378"/>
      <c r="R7" s="197" t="s">
        <v>282</v>
      </c>
      <c r="S7" s="197" t="s">
        <v>283</v>
      </c>
    </row>
    <row r="8" spans="2:19" ht="43">
      <c r="B8" s="353"/>
      <c r="C8" s="354"/>
      <c r="D8" s="8" t="s">
        <v>4</v>
      </c>
      <c r="E8" s="198" t="s">
        <v>127</v>
      </c>
      <c r="F8" s="14" t="s">
        <v>179</v>
      </c>
      <c r="G8" s="14" t="s">
        <v>129</v>
      </c>
      <c r="H8" s="243" t="s">
        <v>181</v>
      </c>
      <c r="I8" s="160" t="s">
        <v>130</v>
      </c>
      <c r="J8" s="161"/>
      <c r="K8" s="162"/>
      <c r="L8" s="161"/>
      <c r="M8" s="199"/>
      <c r="N8" s="200"/>
      <c r="O8" s="200"/>
      <c r="P8" s="200"/>
      <c r="Q8" s="201"/>
      <c r="R8" s="202" t="s">
        <v>185</v>
      </c>
      <c r="S8" s="212"/>
    </row>
    <row r="9" spans="2:19">
      <c r="B9" s="355"/>
      <c r="C9" s="356"/>
      <c r="D9" s="12"/>
      <c r="E9" s="13"/>
      <c r="F9" s="66" t="s">
        <v>6</v>
      </c>
      <c r="G9" s="66" t="s">
        <v>6</v>
      </c>
      <c r="H9" s="66"/>
      <c r="I9" s="15" t="s">
        <v>131</v>
      </c>
      <c r="J9" s="15" t="s">
        <v>8</v>
      </c>
      <c r="K9" s="15" t="s">
        <v>9</v>
      </c>
      <c r="L9" s="15" t="s">
        <v>24</v>
      </c>
      <c r="M9" s="203" t="s">
        <v>131</v>
      </c>
      <c r="N9" s="204" t="s">
        <v>132</v>
      </c>
      <c r="O9" s="6" t="s">
        <v>133</v>
      </c>
      <c r="P9" s="6" t="s">
        <v>172</v>
      </c>
      <c r="Q9" s="205" t="s">
        <v>134</v>
      </c>
      <c r="R9" s="12"/>
      <c r="S9" s="212"/>
    </row>
    <row r="10" spans="2:19">
      <c r="B10" s="95">
        <v>6</v>
      </c>
      <c r="C10" s="90" t="s">
        <v>75</v>
      </c>
      <c r="D10" s="87"/>
      <c r="E10" s="88"/>
      <c r="F10" s="101">
        <f>SUM(F11:F23)</f>
        <v>63.4</v>
      </c>
      <c r="G10" s="101">
        <f>SUM(G11:G23)</f>
        <v>33.200000000000003</v>
      </c>
      <c r="H10" s="101"/>
      <c r="I10" s="15"/>
      <c r="J10" s="15"/>
      <c r="K10" s="15"/>
      <c r="L10" s="15"/>
      <c r="M10" s="15"/>
      <c r="N10" s="204"/>
      <c r="O10" s="15"/>
      <c r="P10" s="15"/>
      <c r="Q10" s="96">
        <f>SUM(Q11:Q23)</f>
        <v>49.009</v>
      </c>
      <c r="R10" s="94"/>
      <c r="S10" s="212"/>
    </row>
    <row r="11" spans="2:19" ht="32">
      <c r="B11" s="94">
        <f>SUM(B10+0.1)</f>
        <v>6.1</v>
      </c>
      <c r="C11" s="167" t="s">
        <v>96</v>
      </c>
      <c r="D11" s="219" t="s">
        <v>13</v>
      </c>
      <c r="E11" s="168"/>
      <c r="F11" s="165">
        <v>7.8</v>
      </c>
      <c r="G11" s="165"/>
      <c r="H11" s="165"/>
      <c r="I11" s="43"/>
      <c r="J11" s="18"/>
      <c r="K11" s="18"/>
      <c r="L11" s="18"/>
      <c r="M11" s="165">
        <f>1.3+0.569+0.65</f>
        <v>2.5190000000000001</v>
      </c>
      <c r="N11" s="165">
        <f>0.65+0.325+0.325</f>
        <v>1.3</v>
      </c>
      <c r="O11" s="165">
        <f>0.975+0.325+0.65+0.65</f>
        <v>2.6</v>
      </c>
      <c r="P11" s="165">
        <f>H11+SUM(M11:O11)</f>
        <v>6.4190000000000005</v>
      </c>
      <c r="Q11" s="165">
        <f>F11-P11</f>
        <v>1.3809999999999993</v>
      </c>
      <c r="R11" s="208" t="s">
        <v>148</v>
      </c>
      <c r="S11" s="326" t="s">
        <v>289</v>
      </c>
    </row>
    <row r="12" spans="2:19" ht="48">
      <c r="B12" s="94">
        <f>SUM(B11+0.1)</f>
        <v>6.1999999999999993</v>
      </c>
      <c r="C12" s="167" t="s">
        <v>65</v>
      </c>
      <c r="D12" s="222" t="s">
        <v>13</v>
      </c>
      <c r="E12" s="168"/>
      <c r="F12" s="165">
        <v>15.6</v>
      </c>
      <c r="G12" s="165"/>
      <c r="H12" s="165"/>
      <c r="I12" s="225"/>
      <c r="J12" s="15"/>
      <c r="K12" s="15"/>
      <c r="L12" s="15"/>
      <c r="M12" s="165">
        <f>1.75+2.72+0.244+0.366+0.691</f>
        <v>5.7709999999999999</v>
      </c>
      <c r="N12" s="165">
        <f>3.575+1.016+0.163</f>
        <v>4.7540000000000004</v>
      </c>
      <c r="O12" s="165">
        <f>0.975+0.834+0.08+0.08</f>
        <v>1.9690000000000001</v>
      </c>
      <c r="P12" s="165">
        <f t="shared" ref="P12:P14" si="0">H12+SUM(M12:O12)</f>
        <v>12.494</v>
      </c>
      <c r="Q12" s="165">
        <f>F12-P12</f>
        <v>3.1059999999999999</v>
      </c>
      <c r="R12" s="208" t="s">
        <v>210</v>
      </c>
      <c r="S12" s="326" t="s">
        <v>289</v>
      </c>
    </row>
    <row r="13" spans="2:19">
      <c r="B13" s="94">
        <f>SUM(B12+0.1)</f>
        <v>6.2999999999999989</v>
      </c>
      <c r="C13" s="167" t="s">
        <v>66</v>
      </c>
      <c r="D13" s="228" t="s">
        <v>37</v>
      </c>
      <c r="E13" s="168"/>
      <c r="F13" s="165">
        <v>5</v>
      </c>
      <c r="G13" s="165"/>
      <c r="H13" s="165"/>
      <c r="I13" s="225"/>
      <c r="J13" s="18"/>
      <c r="K13" s="18"/>
      <c r="L13" s="18"/>
      <c r="M13" s="165"/>
      <c r="N13" s="165"/>
      <c r="O13" s="165">
        <v>2.25</v>
      </c>
      <c r="P13" s="165">
        <f t="shared" si="0"/>
        <v>2.25</v>
      </c>
      <c r="Q13" s="165">
        <f t="shared" ref="Q13:Q19" si="1">F13-SUM(M13:O13)</f>
        <v>2.75</v>
      </c>
      <c r="R13" s="35"/>
      <c r="S13" s="212"/>
    </row>
    <row r="14" spans="2:19">
      <c r="B14" s="94">
        <f>SUM(B13+0.1)</f>
        <v>6.3999999999999986</v>
      </c>
      <c r="C14" s="167" t="s">
        <v>67</v>
      </c>
      <c r="D14" s="219" t="s">
        <v>42</v>
      </c>
      <c r="E14" s="229" t="s">
        <v>149</v>
      </c>
      <c r="F14" s="165">
        <v>0.5</v>
      </c>
      <c r="G14" s="165"/>
      <c r="H14" s="165"/>
      <c r="I14" s="225"/>
      <c r="J14" s="225"/>
      <c r="K14" s="225"/>
      <c r="L14" s="18"/>
      <c r="M14" s="165"/>
      <c r="N14" s="165"/>
      <c r="O14" s="165">
        <v>0.5</v>
      </c>
      <c r="P14" s="165">
        <f t="shared" si="0"/>
        <v>0.5</v>
      </c>
      <c r="Q14" s="165">
        <f t="shared" si="1"/>
        <v>0</v>
      </c>
      <c r="R14" s="208"/>
      <c r="S14" s="212"/>
    </row>
    <row r="15" spans="2:19" ht="48">
      <c r="B15" s="94">
        <v>6.08</v>
      </c>
      <c r="C15" s="114" t="s">
        <v>223</v>
      </c>
      <c r="D15" s="228" t="s">
        <v>13</v>
      </c>
      <c r="E15" s="168"/>
      <c r="F15" s="165">
        <v>16.25</v>
      </c>
      <c r="G15" s="165"/>
      <c r="H15" s="165"/>
      <c r="I15" s="225"/>
      <c r="J15" s="225"/>
      <c r="K15" s="225"/>
      <c r="L15" s="18"/>
      <c r="M15" s="165">
        <f>2.438+0.569</f>
        <v>3.0070000000000001</v>
      </c>
      <c r="N15" s="165"/>
      <c r="O15" s="165"/>
      <c r="P15" s="165">
        <f t="shared" ref="P15:P20" si="2">H15+SUM(M15:O15)</f>
        <v>3.0070000000000001</v>
      </c>
      <c r="Q15" s="165">
        <f>F15-P15</f>
        <v>13.243</v>
      </c>
      <c r="R15" s="230" t="s">
        <v>224</v>
      </c>
      <c r="S15" s="326" t="s">
        <v>289</v>
      </c>
    </row>
    <row r="16" spans="2:19" ht="80">
      <c r="B16" s="94">
        <v>6.09</v>
      </c>
      <c r="C16" s="308" t="s">
        <v>150</v>
      </c>
      <c r="D16" s="231" t="s">
        <v>13</v>
      </c>
      <c r="E16" s="168"/>
      <c r="F16" s="165">
        <v>3.25</v>
      </c>
      <c r="G16" s="165">
        <v>13</v>
      </c>
      <c r="H16" s="165">
        <v>9.56</v>
      </c>
      <c r="I16" s="225"/>
      <c r="J16" s="225"/>
      <c r="K16" s="225"/>
      <c r="L16" s="85"/>
      <c r="M16" s="165">
        <f>1.788+0.894+2.275</f>
        <v>4.9569999999999999</v>
      </c>
      <c r="N16" s="165">
        <f>1.26</f>
        <v>1.26</v>
      </c>
      <c r="O16" s="165">
        <v>0.57199999999999995</v>
      </c>
      <c r="P16" s="165">
        <f>H16+SUM(M16:O16)</f>
        <v>16.349</v>
      </c>
      <c r="Q16" s="165">
        <f>G16-P16+F16</f>
        <v>-9.9000000000000199E-2</v>
      </c>
      <c r="R16" s="316" t="s">
        <v>233</v>
      </c>
      <c r="S16" s="326" t="s">
        <v>288</v>
      </c>
    </row>
    <row r="17" spans="2:19" ht="93" customHeight="1">
      <c r="B17" s="185">
        <v>6.1</v>
      </c>
      <c r="C17" s="114" t="s">
        <v>121</v>
      </c>
      <c r="D17" s="231" t="s">
        <v>13</v>
      </c>
      <c r="E17" s="168"/>
      <c r="F17" s="165"/>
      <c r="G17" s="165">
        <v>4.2</v>
      </c>
      <c r="H17" s="165"/>
      <c r="I17" s="321"/>
      <c r="J17" s="321"/>
      <c r="K17" s="321"/>
      <c r="L17" s="85"/>
      <c r="M17" s="165"/>
      <c r="N17" s="165"/>
      <c r="O17" s="165"/>
      <c r="P17" s="165">
        <f t="shared" si="2"/>
        <v>0</v>
      </c>
      <c r="Q17" s="165">
        <f>G17-P17</f>
        <v>4.2</v>
      </c>
      <c r="R17" s="322" t="s">
        <v>234</v>
      </c>
      <c r="S17" s="320" t="s">
        <v>284</v>
      </c>
    </row>
    <row r="18" spans="2:19" ht="144">
      <c r="B18" s="185">
        <v>6.14</v>
      </c>
      <c r="C18" s="114" t="s">
        <v>81</v>
      </c>
      <c r="D18" s="231" t="s">
        <v>13</v>
      </c>
      <c r="E18" s="168"/>
      <c r="F18" s="237" t="s">
        <v>151</v>
      </c>
      <c r="G18" s="165">
        <v>3</v>
      </c>
      <c r="H18" s="165"/>
      <c r="I18" s="321"/>
      <c r="J18" s="321"/>
      <c r="K18" s="321"/>
      <c r="L18" s="203"/>
      <c r="M18" s="165"/>
      <c r="N18" s="165"/>
      <c r="O18" s="165"/>
      <c r="P18" s="165">
        <f t="shared" si="2"/>
        <v>0</v>
      </c>
      <c r="Q18" s="165">
        <f>G18-SUM(M18:O18)</f>
        <v>3</v>
      </c>
      <c r="R18" s="322" t="s">
        <v>235</v>
      </c>
      <c r="S18" s="320" t="s">
        <v>285</v>
      </c>
    </row>
    <row r="19" spans="2:19">
      <c r="B19" s="164">
        <v>6.16</v>
      </c>
      <c r="C19" s="114" t="s">
        <v>94</v>
      </c>
      <c r="D19" s="116"/>
      <c r="E19" s="117"/>
      <c r="F19" s="165">
        <v>2</v>
      </c>
      <c r="G19" s="165"/>
      <c r="H19" s="165"/>
      <c r="I19" s="321"/>
      <c r="J19" s="321"/>
      <c r="K19" s="321"/>
      <c r="L19" s="203"/>
      <c r="M19" s="165">
        <f>0.368+0.342</f>
        <v>0.71</v>
      </c>
      <c r="N19" s="165"/>
      <c r="O19" s="165">
        <v>8.9999999999999993E-3</v>
      </c>
      <c r="P19" s="165">
        <f t="shared" si="2"/>
        <v>0.71899999999999997</v>
      </c>
      <c r="Q19" s="165">
        <f t="shared" si="1"/>
        <v>1.2810000000000001</v>
      </c>
      <c r="R19" s="322"/>
      <c r="S19" s="210"/>
    </row>
    <row r="20" spans="2:19" ht="64">
      <c r="B20" s="164">
        <v>6.17</v>
      </c>
      <c r="C20" s="114" t="s">
        <v>112</v>
      </c>
      <c r="D20" s="231" t="s">
        <v>13</v>
      </c>
      <c r="E20" s="117"/>
      <c r="F20" s="165">
        <v>6.5</v>
      </c>
      <c r="G20" s="165"/>
      <c r="H20" s="165"/>
      <c r="I20" s="321"/>
      <c r="J20" s="321"/>
      <c r="K20" s="321"/>
      <c r="L20" s="203"/>
      <c r="M20" s="165"/>
      <c r="N20" s="165"/>
      <c r="O20" s="165"/>
      <c r="P20" s="165">
        <f t="shared" si="2"/>
        <v>0</v>
      </c>
      <c r="Q20" s="165">
        <f>F20-SUM(M20:O20)</f>
        <v>6.5</v>
      </c>
      <c r="R20" s="322" t="s">
        <v>211</v>
      </c>
      <c r="S20" s="320" t="s">
        <v>286</v>
      </c>
    </row>
    <row r="21" spans="2:19" ht="144">
      <c r="B21" s="94">
        <v>6.18</v>
      </c>
      <c r="C21" s="103" t="s">
        <v>152</v>
      </c>
      <c r="D21" s="231" t="s">
        <v>13</v>
      </c>
      <c r="E21" s="104"/>
      <c r="F21" s="165"/>
      <c r="G21" s="165">
        <v>13</v>
      </c>
      <c r="H21" s="165"/>
      <c r="I21" s="225"/>
      <c r="J21" s="225"/>
      <c r="K21" s="225"/>
      <c r="L21" s="15"/>
      <c r="M21" s="165"/>
      <c r="N21" s="165"/>
      <c r="O21" s="165"/>
      <c r="P21" s="165">
        <f>H21+SUM(M21:O21)</f>
        <v>0</v>
      </c>
      <c r="Q21" s="165">
        <f>G21-SUM(M21:O21)</f>
        <v>13</v>
      </c>
      <c r="R21" s="323" t="s">
        <v>236</v>
      </c>
      <c r="S21" s="336" t="s">
        <v>287</v>
      </c>
    </row>
    <row r="22" spans="2:19" ht="80">
      <c r="B22" s="94">
        <v>6.19</v>
      </c>
      <c r="C22" s="103" t="s">
        <v>212</v>
      </c>
      <c r="D22" s="231" t="s">
        <v>13</v>
      </c>
      <c r="E22" s="104"/>
      <c r="F22" s="165">
        <v>3.25</v>
      </c>
      <c r="G22" s="165"/>
      <c r="H22" s="165"/>
      <c r="I22" s="225"/>
      <c r="J22" s="225"/>
      <c r="K22" s="225"/>
      <c r="L22" s="15"/>
      <c r="M22" s="165">
        <f>0.609+0.082</f>
        <v>0.69099999999999995</v>
      </c>
      <c r="N22" s="165">
        <f>3.25+0.49</f>
        <v>3.74</v>
      </c>
      <c r="O22" s="165">
        <v>0.48799999999999999</v>
      </c>
      <c r="P22" s="165">
        <f t="shared" ref="P22:P23" si="3">H22+SUM(M22:O22)</f>
        <v>4.9190000000000005</v>
      </c>
      <c r="Q22" s="165">
        <f>F22-SUM(M22:O22)</f>
        <v>-1.6690000000000005</v>
      </c>
      <c r="R22" s="208" t="s">
        <v>237</v>
      </c>
      <c r="S22" s="325" t="s">
        <v>290</v>
      </c>
    </row>
    <row r="23" spans="2:19" ht="80">
      <c r="B23" s="35">
        <v>6.2</v>
      </c>
      <c r="C23" s="103" t="s">
        <v>213</v>
      </c>
      <c r="D23" s="231" t="s">
        <v>13</v>
      </c>
      <c r="E23" s="104"/>
      <c r="F23" s="165">
        <v>3.25</v>
      </c>
      <c r="G23" s="165"/>
      <c r="H23" s="165"/>
      <c r="I23" s="225"/>
      <c r="J23" s="225"/>
      <c r="K23" s="225"/>
      <c r="L23" s="15"/>
      <c r="M23" s="165">
        <f>0.65+0.284</f>
        <v>0.93399999999999994</v>
      </c>
      <c r="N23" s="165"/>
      <c r="O23" s="165"/>
      <c r="P23" s="165">
        <f t="shared" si="3"/>
        <v>0.93399999999999994</v>
      </c>
      <c r="Q23" s="165">
        <f>F23-SUM(M23:O23)</f>
        <v>2.3159999999999998</v>
      </c>
      <c r="R23" s="208" t="s">
        <v>237</v>
      </c>
      <c r="S23" s="325" t="s">
        <v>290</v>
      </c>
    </row>
    <row r="24" spans="2:19">
      <c r="B24" s="94"/>
      <c r="C24" s="103"/>
      <c r="D24" s="106"/>
      <c r="E24" s="104"/>
      <c r="F24" s="165"/>
      <c r="G24" s="165"/>
      <c r="H24" s="165"/>
      <c r="I24" s="225"/>
      <c r="J24" s="225"/>
      <c r="K24" s="225"/>
      <c r="L24" s="15"/>
      <c r="M24" s="165"/>
      <c r="N24" s="165"/>
      <c r="O24" s="165"/>
      <c r="P24" s="165"/>
      <c r="Q24" s="165"/>
      <c r="R24" s="208"/>
      <c r="S24" s="212"/>
    </row>
    <row r="25" spans="2:19">
      <c r="F25" s="165"/>
      <c r="G25" s="165"/>
      <c r="H25" s="165"/>
      <c r="M25" s="165"/>
      <c r="N25" s="165"/>
      <c r="O25" s="165"/>
      <c r="P25" s="165"/>
      <c r="Q25" s="165"/>
    </row>
    <row r="26" spans="2:19" ht="16">
      <c r="F26" s="165"/>
      <c r="G26" s="165"/>
      <c r="H26" s="165"/>
      <c r="R26" s="324" t="s">
        <v>291</v>
      </c>
      <c r="S26" s="27">
        <f>G17+G18+F20</f>
        <v>13.7</v>
      </c>
    </row>
    <row r="27" spans="2:19" ht="16">
      <c r="F27" s="165"/>
      <c r="G27" s="165"/>
      <c r="H27" s="165"/>
      <c r="R27" s="324" t="s">
        <v>292</v>
      </c>
      <c r="S27" s="27">
        <f>Q21+Q22+Q23</f>
        <v>13.646999999999998</v>
      </c>
    </row>
    <row r="28" spans="2:19" ht="16">
      <c r="R28" s="324" t="s">
        <v>293</v>
      </c>
      <c r="S28" s="27">
        <f>F10+G10-S26-S27</f>
        <v>69.252999999999986</v>
      </c>
    </row>
  </sheetData>
  <mergeCells count="3">
    <mergeCell ref="B7:C9"/>
    <mergeCell ref="I7:L7"/>
    <mergeCell ref="M7:Q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T32"/>
  <sheetViews>
    <sheetView topLeftCell="C5" zoomScale="117" zoomScaleNormal="117" workbookViewId="0">
      <selection activeCell="O13" sqref="O13"/>
    </sheetView>
  </sheetViews>
  <sheetFormatPr baseColWidth="10" defaultColWidth="11" defaultRowHeight="15" outlineLevelRow="1"/>
  <cols>
    <col min="3" max="3" width="44" customWidth="1"/>
    <col min="7" max="8" width="10.6640625" customWidth="1"/>
    <col min="9" max="10" width="2.83203125" customWidth="1"/>
    <col min="11" max="11" width="3.5" customWidth="1"/>
    <col min="12" max="12" width="3.33203125" customWidth="1"/>
    <col min="18" max="18" width="37.1640625" customWidth="1"/>
    <col min="19" max="20" width="31" customWidth="1"/>
  </cols>
  <sheetData>
    <row r="3" spans="2:20">
      <c r="C3" s="158" t="s">
        <v>207</v>
      </c>
      <c r="D3" s="163"/>
      <c r="E3" s="163"/>
      <c r="F3" s="163"/>
    </row>
    <row r="5" spans="2:20">
      <c r="C5" s="196" t="s">
        <v>208</v>
      </c>
      <c r="D5" s="213"/>
      <c r="E5" s="213"/>
    </row>
    <row r="7" spans="2:20" ht="15" customHeight="1">
      <c r="B7" s="351" t="s">
        <v>1</v>
      </c>
      <c r="C7" s="352"/>
      <c r="D7" s="5" t="s">
        <v>3</v>
      </c>
      <c r="E7" s="6" t="s">
        <v>122</v>
      </c>
      <c r="F7" s="36" t="s">
        <v>123</v>
      </c>
      <c r="G7" s="36" t="s">
        <v>124</v>
      </c>
      <c r="H7" s="36"/>
      <c r="I7" s="378" t="s">
        <v>153</v>
      </c>
      <c r="J7" s="378"/>
      <c r="K7" s="378"/>
      <c r="L7" s="378"/>
      <c r="M7" s="378" t="s">
        <v>154</v>
      </c>
      <c r="N7" s="378"/>
      <c r="O7" s="378"/>
      <c r="P7" s="378"/>
      <c r="Q7" s="378"/>
      <c r="R7" s="197" t="s">
        <v>294</v>
      </c>
      <c r="S7" s="197" t="s">
        <v>322</v>
      </c>
      <c r="T7" s="197" t="s">
        <v>295</v>
      </c>
    </row>
    <row r="8" spans="2:20" ht="43">
      <c r="B8" s="353"/>
      <c r="C8" s="354"/>
      <c r="D8" s="8" t="s">
        <v>4</v>
      </c>
      <c r="E8" s="9" t="s">
        <v>5</v>
      </c>
      <c r="F8" s="14" t="s">
        <v>179</v>
      </c>
      <c r="G8" s="14" t="s">
        <v>129</v>
      </c>
      <c r="H8" s="243" t="s">
        <v>209</v>
      </c>
      <c r="I8" s="160" t="s">
        <v>130</v>
      </c>
      <c r="J8" s="161"/>
      <c r="K8" s="162"/>
      <c r="L8" s="161"/>
      <c r="M8" s="199"/>
      <c r="N8" s="200"/>
      <c r="O8" s="200"/>
      <c r="P8" s="200"/>
      <c r="Q8" s="201"/>
      <c r="R8" s="202" t="s">
        <v>185</v>
      </c>
      <c r="S8" s="202"/>
      <c r="T8" s="202"/>
    </row>
    <row r="9" spans="2:20" ht="40.5" customHeight="1">
      <c r="B9" s="355"/>
      <c r="C9" s="356"/>
      <c r="D9" s="12"/>
      <c r="E9" s="13"/>
      <c r="F9" s="66" t="s">
        <v>6</v>
      </c>
      <c r="G9" s="66" t="s">
        <v>6</v>
      </c>
      <c r="H9" s="66"/>
      <c r="I9" s="15" t="s">
        <v>131</v>
      </c>
      <c r="J9" s="15" t="s">
        <v>8</v>
      </c>
      <c r="K9" s="15" t="s">
        <v>9</v>
      </c>
      <c r="L9" s="15" t="s">
        <v>24</v>
      </c>
      <c r="M9" s="203" t="s">
        <v>131</v>
      </c>
      <c r="N9" s="204" t="s">
        <v>132</v>
      </c>
      <c r="O9" s="6" t="s">
        <v>133</v>
      </c>
      <c r="P9" s="6" t="s">
        <v>168</v>
      </c>
      <c r="Q9" s="205" t="s">
        <v>134</v>
      </c>
      <c r="R9" s="12"/>
      <c r="S9" s="12"/>
      <c r="T9" s="12"/>
    </row>
    <row r="10" spans="2:20">
      <c r="B10" s="94">
        <v>7</v>
      </c>
      <c r="C10" s="107" t="s">
        <v>74</v>
      </c>
      <c r="D10" s="106"/>
      <c r="E10" s="104"/>
      <c r="F10" s="232">
        <f>SUM(F11:F21)</f>
        <v>72.3</v>
      </c>
      <c r="G10" s="101">
        <f>SUM(G11:G21)</f>
        <v>61</v>
      </c>
      <c r="H10" s="264"/>
      <c r="I10" s="233"/>
      <c r="J10" s="15"/>
      <c r="K10" s="15"/>
      <c r="L10" s="15"/>
      <c r="M10" s="126"/>
      <c r="N10" s="204"/>
      <c r="O10" s="15"/>
      <c r="P10" s="96">
        <f>SUM(P11:P21)</f>
        <v>64.664000000000016</v>
      </c>
      <c r="Q10" s="96">
        <f>SUM(Q11:Q21)</f>
        <v>68.635999999999996</v>
      </c>
      <c r="R10" s="94"/>
      <c r="S10" s="94"/>
      <c r="T10" s="94"/>
    </row>
    <row r="11" spans="2:20" outlineLevel="1">
      <c r="B11" s="94">
        <f>SUM(B10+0.1)</f>
        <v>7.1</v>
      </c>
      <c r="C11" s="114" t="s">
        <v>97</v>
      </c>
      <c r="D11" s="228" t="s">
        <v>13</v>
      </c>
      <c r="E11" s="168"/>
      <c r="F11" s="165">
        <f>15*0.65</f>
        <v>9.75</v>
      </c>
      <c r="G11" s="77"/>
      <c r="H11" s="265"/>
      <c r="I11" s="233"/>
      <c r="J11" s="15"/>
      <c r="K11" s="15"/>
      <c r="L11" s="15"/>
      <c r="M11" s="339">
        <f>1.3+0.65+0.325+0.325</f>
        <v>2.6000000000000005</v>
      </c>
      <c r="N11" s="340">
        <f>0.325+0.325</f>
        <v>0.65</v>
      </c>
      <c r="O11" s="340">
        <f>1.3+0.65+0.325</f>
        <v>2.2750000000000004</v>
      </c>
      <c r="P11" s="267">
        <f>H11+SUM(M11:O11)</f>
        <v>5.5250000000000004</v>
      </c>
      <c r="Q11" s="96">
        <f>F11-P11</f>
        <v>4.2249999999999996</v>
      </c>
      <c r="R11" s="94" t="s">
        <v>155</v>
      </c>
      <c r="S11" s="164"/>
      <c r="T11" s="166" t="s">
        <v>289</v>
      </c>
    </row>
    <row r="12" spans="2:20" ht="32" outlineLevel="1">
      <c r="B12" s="94">
        <f t="shared" ref="B12" si="0">SUM(B11+0.1)</f>
        <v>7.1999999999999993</v>
      </c>
      <c r="C12" s="114" t="s">
        <v>68</v>
      </c>
      <c r="D12" s="234" t="s">
        <v>13</v>
      </c>
      <c r="E12" s="168"/>
      <c r="F12" s="165">
        <v>27.3</v>
      </c>
      <c r="G12" s="77"/>
      <c r="H12" s="265"/>
      <c r="I12" s="235"/>
      <c r="J12" s="15"/>
      <c r="K12" s="15"/>
      <c r="L12" s="15"/>
      <c r="M12" s="309">
        <f>7.719+3.5+6.5+1.3</f>
        <v>19.019000000000002</v>
      </c>
      <c r="N12" s="340"/>
      <c r="O12" s="340">
        <f>2.36+1.95+1.95</f>
        <v>6.26</v>
      </c>
      <c r="P12" s="267">
        <f t="shared" ref="P12:P20" si="1">H12+SUM(M12:O12)</f>
        <v>25.279000000000003</v>
      </c>
      <c r="Q12" s="96">
        <f t="shared" ref="Q12:Q19" si="2">F12-P12</f>
        <v>2.0209999999999972</v>
      </c>
      <c r="R12" s="212" t="s">
        <v>219</v>
      </c>
      <c r="S12" s="210"/>
      <c r="T12" s="326" t="s">
        <v>289</v>
      </c>
    </row>
    <row r="13" spans="2:20" ht="16" outlineLevel="1">
      <c r="B13" s="94">
        <f>SUM(B12+0.1)</f>
        <v>7.2999999999999989</v>
      </c>
      <c r="C13" s="114" t="s">
        <v>69</v>
      </c>
      <c r="D13" s="224" t="s">
        <v>87</v>
      </c>
      <c r="E13" s="168" t="s">
        <v>156</v>
      </c>
      <c r="F13" s="165">
        <f>5*0.65</f>
        <v>3.25</v>
      </c>
      <c r="G13" s="19"/>
      <c r="H13" s="263"/>
      <c r="I13" s="225"/>
      <c r="J13" s="225"/>
      <c r="K13" s="225"/>
      <c r="L13" s="19"/>
      <c r="M13" s="249"/>
      <c r="N13" s="249"/>
      <c r="O13" s="249">
        <v>1.45</v>
      </c>
      <c r="P13" s="267">
        <f t="shared" si="1"/>
        <v>1.45</v>
      </c>
      <c r="Q13" s="96">
        <f t="shared" si="2"/>
        <v>1.8</v>
      </c>
      <c r="R13" s="208" t="s">
        <v>114</v>
      </c>
      <c r="S13" s="322"/>
      <c r="T13" s="330" t="s">
        <v>289</v>
      </c>
    </row>
    <row r="14" spans="2:20" ht="112" outlineLevel="1">
      <c r="B14" s="94">
        <v>7.9</v>
      </c>
      <c r="C14" s="114" t="s">
        <v>70</v>
      </c>
      <c r="D14" s="224" t="s">
        <v>158</v>
      </c>
      <c r="E14" s="228">
        <v>2016</v>
      </c>
      <c r="F14" s="237" t="s">
        <v>157</v>
      </c>
      <c r="G14" s="19">
        <v>20</v>
      </c>
      <c r="H14" s="263">
        <v>2.5</v>
      </c>
      <c r="I14" s="225"/>
      <c r="J14" s="225"/>
      <c r="K14" s="225"/>
      <c r="L14" s="19"/>
      <c r="M14" s="249">
        <f>0.325</f>
        <v>0.32500000000000001</v>
      </c>
      <c r="N14" s="249"/>
      <c r="O14" s="249"/>
      <c r="P14" s="267">
        <f t="shared" si="1"/>
        <v>2.8250000000000002</v>
      </c>
      <c r="Q14" s="96">
        <f>G14-P14</f>
        <v>17.175000000000001</v>
      </c>
      <c r="R14" s="208" t="s">
        <v>252</v>
      </c>
      <c r="S14" s="322"/>
      <c r="T14" s="329" t="s">
        <v>311</v>
      </c>
    </row>
    <row r="15" spans="2:20" ht="64" outlineLevel="1">
      <c r="B15" s="35">
        <v>7.13</v>
      </c>
      <c r="C15" s="114" t="s">
        <v>71</v>
      </c>
      <c r="D15" s="116"/>
      <c r="E15" s="117"/>
      <c r="F15" s="237">
        <v>10</v>
      </c>
      <c r="G15" s="19">
        <v>15</v>
      </c>
      <c r="H15" s="263">
        <v>15</v>
      </c>
      <c r="I15" s="225"/>
      <c r="J15" s="225"/>
      <c r="K15" s="225"/>
      <c r="L15" s="15"/>
      <c r="M15" s="339"/>
      <c r="N15" s="341"/>
      <c r="O15" s="245"/>
      <c r="P15" s="267">
        <f t="shared" si="1"/>
        <v>15</v>
      </c>
      <c r="Q15" s="96">
        <f>G15+F15-P15</f>
        <v>10</v>
      </c>
      <c r="R15" s="208" t="s">
        <v>253</v>
      </c>
      <c r="S15" s="322" t="s">
        <v>324</v>
      </c>
      <c r="T15" s="330" t="s">
        <v>289</v>
      </c>
    </row>
    <row r="16" spans="2:20" ht="16" outlineLevel="1">
      <c r="B16" s="35">
        <f>SUM(B15+0.01)</f>
        <v>7.14</v>
      </c>
      <c r="C16" s="114" t="s">
        <v>72</v>
      </c>
      <c r="D16" s="116"/>
      <c r="E16" s="168"/>
      <c r="F16" s="165"/>
      <c r="G16" s="19">
        <v>1</v>
      </c>
      <c r="H16" s="263"/>
      <c r="I16" s="278"/>
      <c r="J16" s="278"/>
      <c r="K16" s="278"/>
      <c r="L16" s="126"/>
      <c r="M16" s="339"/>
      <c r="N16" s="339"/>
      <c r="O16" s="339"/>
      <c r="P16" s="267">
        <f t="shared" si="1"/>
        <v>0</v>
      </c>
      <c r="Q16" s="96">
        <f>G16-P16</f>
        <v>1</v>
      </c>
      <c r="R16" s="208" t="s">
        <v>115</v>
      </c>
      <c r="S16" s="322"/>
      <c r="T16" s="337" t="s">
        <v>306</v>
      </c>
    </row>
    <row r="17" spans="2:20" ht="48">
      <c r="B17" s="35">
        <f>SUM(B16+0.01)</f>
        <v>7.1499999999999995</v>
      </c>
      <c r="C17" s="114" t="s">
        <v>85</v>
      </c>
      <c r="D17" s="224" t="s">
        <v>86</v>
      </c>
      <c r="E17" s="238"/>
      <c r="F17" s="165">
        <v>20</v>
      </c>
      <c r="G17" s="19"/>
      <c r="H17" s="266"/>
      <c r="I17" s="278"/>
      <c r="J17" s="278"/>
      <c r="K17" s="278"/>
      <c r="L17" s="126"/>
      <c r="M17" s="339">
        <v>1.95</v>
      </c>
      <c r="N17" s="339"/>
      <c r="O17" s="339"/>
      <c r="P17" s="267">
        <f t="shared" si="1"/>
        <v>1.95</v>
      </c>
      <c r="Q17" s="96">
        <f>F17-P17</f>
        <v>18.05</v>
      </c>
      <c r="R17" s="208" t="s">
        <v>220</v>
      </c>
      <c r="S17" s="322"/>
      <c r="T17" s="329" t="s">
        <v>307</v>
      </c>
    </row>
    <row r="18" spans="2:20" ht="80">
      <c r="B18" s="35">
        <v>7.18</v>
      </c>
      <c r="C18" s="114" t="s">
        <v>98</v>
      </c>
      <c r="D18" s="236" t="s">
        <v>159</v>
      </c>
      <c r="E18" s="237" t="s">
        <v>160</v>
      </c>
      <c r="F18" s="237"/>
      <c r="G18" s="19">
        <v>12</v>
      </c>
      <c r="H18" s="263">
        <v>3.12</v>
      </c>
      <c r="I18" s="225"/>
      <c r="J18" s="225"/>
      <c r="K18" s="225"/>
      <c r="L18" s="15"/>
      <c r="M18" s="339"/>
      <c r="N18" s="339">
        <v>2.58</v>
      </c>
      <c r="O18" s="339">
        <v>6.5</v>
      </c>
      <c r="P18" s="267">
        <f>H18+SUM(M18:O18)</f>
        <v>12.2</v>
      </c>
      <c r="Q18" s="96">
        <f>G18-P18</f>
        <v>-0.19999999999999929</v>
      </c>
      <c r="R18" s="208" t="s">
        <v>254</v>
      </c>
      <c r="S18" s="322" t="s">
        <v>323</v>
      </c>
      <c r="T18" s="330" t="s">
        <v>308</v>
      </c>
    </row>
    <row r="19" spans="2:20" ht="48">
      <c r="B19" s="94">
        <v>7.22</v>
      </c>
      <c r="C19" s="103" t="s">
        <v>94</v>
      </c>
      <c r="D19" s="106"/>
      <c r="E19" s="104"/>
      <c r="F19" s="165">
        <v>2</v>
      </c>
      <c r="G19" s="19"/>
      <c r="H19" s="263"/>
      <c r="I19" s="225"/>
      <c r="J19" s="225"/>
      <c r="K19" s="225"/>
      <c r="L19" s="15"/>
      <c r="M19" s="339">
        <f>0.435</f>
        <v>0.435</v>
      </c>
      <c r="N19" s="339"/>
      <c r="O19" s="245"/>
      <c r="P19" s="267">
        <f t="shared" si="1"/>
        <v>0.435</v>
      </c>
      <c r="Q19" s="96">
        <f t="shared" si="2"/>
        <v>1.5649999999999999</v>
      </c>
      <c r="R19" s="208" t="s">
        <v>116</v>
      </c>
      <c r="S19" s="322"/>
      <c r="T19" s="330" t="s">
        <v>289</v>
      </c>
    </row>
    <row r="20" spans="2:20" ht="48">
      <c r="B20" s="185">
        <v>7.24</v>
      </c>
      <c r="C20" s="308" t="s">
        <v>161</v>
      </c>
      <c r="D20" s="236" t="s">
        <v>162</v>
      </c>
      <c r="E20" s="168"/>
      <c r="F20" s="237"/>
      <c r="G20" s="19">
        <v>13</v>
      </c>
      <c r="H20" s="263"/>
      <c r="I20" s="225"/>
      <c r="J20" s="225"/>
      <c r="K20" s="225"/>
      <c r="L20" s="15"/>
      <c r="M20" s="339"/>
      <c r="N20" s="339"/>
      <c r="O20" s="245"/>
      <c r="P20" s="267">
        <f t="shared" si="1"/>
        <v>0</v>
      </c>
      <c r="Q20" s="96">
        <f>G20-P20</f>
        <v>13</v>
      </c>
      <c r="R20" s="208" t="s">
        <v>163</v>
      </c>
      <c r="S20" s="322"/>
      <c r="T20" s="337" t="s">
        <v>309</v>
      </c>
    </row>
    <row r="21" spans="2:20" ht="32">
      <c r="B21" s="94">
        <v>7.25</v>
      </c>
      <c r="C21" s="277" t="s">
        <v>216</v>
      </c>
      <c r="D21" s="106"/>
      <c r="E21" s="104"/>
      <c r="F21" s="84"/>
      <c r="G21" s="19"/>
      <c r="H21" s="263"/>
      <c r="I21" s="225"/>
      <c r="J21" s="225"/>
      <c r="K21" s="225"/>
      <c r="L21" s="15"/>
      <c r="M21" s="339"/>
      <c r="N21" s="339"/>
      <c r="O21" s="245"/>
      <c r="P21" s="15"/>
      <c r="Q21" s="96"/>
      <c r="R21" s="208" t="s">
        <v>218</v>
      </c>
      <c r="S21" s="322"/>
      <c r="T21" s="208" t="s">
        <v>310</v>
      </c>
    </row>
    <row r="22" spans="2:20" ht="32">
      <c r="B22" s="94">
        <v>7.26</v>
      </c>
      <c r="C22" s="308" t="s">
        <v>246</v>
      </c>
      <c r="D22" s="106"/>
      <c r="E22" s="104"/>
      <c r="F22" s="84"/>
      <c r="G22" s="19"/>
      <c r="H22" s="263"/>
      <c r="I22" s="225"/>
      <c r="J22" s="225"/>
      <c r="K22" s="225"/>
      <c r="L22" s="15"/>
      <c r="M22" s="339"/>
      <c r="N22" s="339"/>
      <c r="O22" s="245"/>
      <c r="P22" s="15"/>
      <c r="Q22" s="96"/>
      <c r="R22" s="208" t="s">
        <v>218</v>
      </c>
      <c r="S22" s="322"/>
      <c r="T22" s="208" t="s">
        <v>310</v>
      </c>
    </row>
    <row r="23" spans="2:20" ht="32">
      <c r="B23" s="94">
        <v>7.27</v>
      </c>
      <c r="C23" s="277" t="s">
        <v>217</v>
      </c>
      <c r="D23" s="106"/>
      <c r="E23" s="104"/>
      <c r="F23" s="84"/>
      <c r="G23" s="19"/>
      <c r="H23" s="263"/>
      <c r="I23" s="225"/>
      <c r="J23" s="225"/>
      <c r="K23" s="225"/>
      <c r="L23" s="15"/>
      <c r="M23" s="339"/>
      <c r="N23" s="339"/>
      <c r="O23" s="245"/>
      <c r="P23" s="15"/>
      <c r="Q23" s="96"/>
      <c r="R23" s="322" t="s">
        <v>255</v>
      </c>
      <c r="S23" s="322"/>
      <c r="T23" s="208" t="s">
        <v>310</v>
      </c>
    </row>
    <row r="25" spans="2:20" ht="16">
      <c r="R25" s="324" t="s">
        <v>291</v>
      </c>
      <c r="S25" s="27">
        <f>Q20+Q16</f>
        <v>14</v>
      </c>
      <c r="T25" s="27" t="e">
        <f>R20+R16</f>
        <v>#VALUE!</v>
      </c>
    </row>
    <row r="26" spans="2:20" ht="16">
      <c r="R26" s="324" t="s">
        <v>292</v>
      </c>
      <c r="S26">
        <f>8.7+15</f>
        <v>23.7</v>
      </c>
      <c r="T26">
        <f>8.7+15</f>
        <v>23.7</v>
      </c>
    </row>
    <row r="27" spans="2:20" ht="16">
      <c r="R27" s="324" t="s">
        <v>293</v>
      </c>
      <c r="S27" s="27">
        <f>F10+G10-S25-S26</f>
        <v>95.600000000000009</v>
      </c>
      <c r="T27" s="27" t="e">
        <f>G10+H10-T25-T26</f>
        <v>#VALUE!</v>
      </c>
    </row>
    <row r="28" spans="2:20">
      <c r="C28" s="239" t="s">
        <v>164</v>
      </c>
    </row>
    <row r="30" spans="2:20">
      <c r="C30" t="s">
        <v>215</v>
      </c>
    </row>
    <row r="31" spans="2:20">
      <c r="C31" t="s">
        <v>165</v>
      </c>
    </row>
    <row r="32" spans="2:20">
      <c r="C32" t="s">
        <v>176</v>
      </c>
    </row>
  </sheetData>
  <mergeCells count="3">
    <mergeCell ref="B7:C9"/>
    <mergeCell ref="I7:L7"/>
    <mergeCell ref="M7:Q7"/>
  </mergeCell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T18"/>
  <sheetViews>
    <sheetView topLeftCell="B1" workbookViewId="0">
      <selection activeCell="P14" sqref="P14"/>
    </sheetView>
  </sheetViews>
  <sheetFormatPr baseColWidth="10" defaultRowHeight="15"/>
  <cols>
    <col min="3" max="3" width="37.83203125" customWidth="1"/>
    <col min="7" max="7" width="12.33203125" customWidth="1"/>
    <col min="10" max="10" width="5.5" customWidth="1"/>
    <col min="11" max="11" width="5.1640625" customWidth="1"/>
    <col min="12" max="12" width="5" customWidth="1"/>
    <col min="13" max="13" width="4.83203125" customWidth="1"/>
    <col min="19" max="19" width="26.33203125" customWidth="1"/>
    <col min="20" max="20" width="25" customWidth="1"/>
  </cols>
  <sheetData>
    <row r="3" spans="2:20">
      <c r="C3" s="195" t="s">
        <v>196</v>
      </c>
      <c r="J3" s="163"/>
      <c r="K3" s="163"/>
      <c r="L3" s="163"/>
      <c r="M3" s="163"/>
    </row>
    <row r="5" spans="2:20">
      <c r="C5" s="213" t="s">
        <v>195</v>
      </c>
      <c r="K5" s="159"/>
      <c r="L5" s="159"/>
      <c r="M5" s="159"/>
    </row>
    <row r="7" spans="2:20">
      <c r="B7" s="351" t="s">
        <v>1</v>
      </c>
      <c r="C7" s="352"/>
      <c r="D7" s="32" t="s">
        <v>2</v>
      </c>
      <c r="E7" s="5" t="s">
        <v>3</v>
      </c>
      <c r="F7" s="6"/>
      <c r="G7" s="36" t="s">
        <v>123</v>
      </c>
      <c r="H7" s="36" t="s">
        <v>124</v>
      </c>
      <c r="I7" s="36"/>
      <c r="J7" s="378" t="s">
        <v>153</v>
      </c>
      <c r="K7" s="378"/>
      <c r="L7" s="378"/>
      <c r="M7" s="378"/>
      <c r="N7" s="378" t="s">
        <v>126</v>
      </c>
      <c r="O7" s="378"/>
      <c r="P7" s="378"/>
      <c r="Q7" s="378"/>
      <c r="R7" s="378"/>
      <c r="S7" s="197" t="s">
        <v>46</v>
      </c>
      <c r="T7" s="197" t="s">
        <v>46</v>
      </c>
    </row>
    <row r="8" spans="2:20" ht="29">
      <c r="B8" s="353"/>
      <c r="C8" s="354"/>
      <c r="D8" s="31"/>
      <c r="E8" s="8" t="s">
        <v>4</v>
      </c>
      <c r="F8" s="240" t="s">
        <v>166</v>
      </c>
      <c r="G8" s="14" t="s">
        <v>128</v>
      </c>
      <c r="H8" s="14" t="s">
        <v>129</v>
      </c>
      <c r="I8" s="243" t="s">
        <v>173</v>
      </c>
      <c r="J8" s="160" t="s">
        <v>130</v>
      </c>
      <c r="K8" s="161"/>
      <c r="L8" s="162"/>
      <c r="M8" s="161"/>
      <c r="N8" s="199"/>
      <c r="O8" s="200"/>
      <c r="P8" s="200"/>
      <c r="Q8" s="200"/>
      <c r="R8" s="201"/>
      <c r="S8" s="202" t="s">
        <v>185</v>
      </c>
      <c r="T8" s="202"/>
    </row>
    <row r="9" spans="2:20">
      <c r="B9" s="355"/>
      <c r="C9" s="356"/>
      <c r="D9" s="12"/>
      <c r="E9" s="12"/>
      <c r="F9" s="13"/>
      <c r="G9" s="66" t="s">
        <v>6</v>
      </c>
      <c r="H9" s="66" t="s">
        <v>6</v>
      </c>
      <c r="I9" s="66"/>
      <c r="J9" s="15" t="s">
        <v>131</v>
      </c>
      <c r="K9" s="15" t="s">
        <v>8</v>
      </c>
      <c r="L9" s="15" t="s">
        <v>9</v>
      </c>
      <c r="M9" s="15" t="s">
        <v>24</v>
      </c>
      <c r="N9" s="203" t="s">
        <v>131</v>
      </c>
      <c r="O9" s="204" t="s">
        <v>132</v>
      </c>
      <c r="P9" s="6" t="s">
        <v>133</v>
      </c>
      <c r="Q9" s="6" t="s">
        <v>174</v>
      </c>
      <c r="R9" s="205" t="s">
        <v>134</v>
      </c>
      <c r="S9" s="12"/>
      <c r="T9" s="12"/>
    </row>
    <row r="10" spans="2:20">
      <c r="B10" s="94">
        <v>8</v>
      </c>
      <c r="C10" s="107" t="s">
        <v>73</v>
      </c>
      <c r="D10" s="105"/>
      <c r="E10" s="106"/>
      <c r="F10" s="104"/>
      <c r="G10" s="108">
        <f>SUM(G11:G14)</f>
        <v>14.8</v>
      </c>
      <c r="H10" s="101">
        <f>SUM(H11:H14)</f>
        <v>0</v>
      </c>
      <c r="I10" s="101"/>
      <c r="J10" s="15"/>
      <c r="K10" s="15"/>
      <c r="L10" s="15"/>
      <c r="M10" s="15"/>
      <c r="N10" s="15"/>
      <c r="O10" s="204"/>
      <c r="P10" s="15"/>
      <c r="Q10" s="96">
        <f>SUM(Q11:Q14)</f>
        <v>16.502000000000002</v>
      </c>
      <c r="R10" s="96">
        <f>SUM(R11:R14)</f>
        <v>1.2229999999999999</v>
      </c>
      <c r="S10" s="94"/>
      <c r="T10" s="94"/>
    </row>
    <row r="11" spans="2:20" ht="71">
      <c r="B11" s="94">
        <f>SUM(B10+0.1)</f>
        <v>8.1</v>
      </c>
      <c r="C11" s="114" t="s">
        <v>167</v>
      </c>
      <c r="D11" s="241" t="s">
        <v>78</v>
      </c>
      <c r="E11" s="234" t="s">
        <v>13</v>
      </c>
      <c r="F11" s="236" t="s">
        <v>197</v>
      </c>
      <c r="G11" s="165">
        <f>0.65*6</f>
        <v>3.9000000000000004</v>
      </c>
      <c r="H11" s="165"/>
      <c r="I11" s="165"/>
      <c r="J11" s="19"/>
      <c r="K11" s="19"/>
      <c r="L11" s="19"/>
      <c r="M11" s="19"/>
      <c r="N11" s="19">
        <f>0.65</f>
        <v>0.65</v>
      </c>
      <c r="O11" s="19">
        <f>0.244</f>
        <v>0.24399999999999999</v>
      </c>
      <c r="P11" s="19">
        <f>1.95+0.163</f>
        <v>2.113</v>
      </c>
      <c r="Q11" s="19">
        <f>I11+SUM(N11:P11)</f>
        <v>3.0070000000000001</v>
      </c>
      <c r="R11" s="19">
        <f>G11-SUM(N11:P11)</f>
        <v>0.89300000000000024</v>
      </c>
      <c r="S11" s="208" t="s">
        <v>192</v>
      </c>
      <c r="T11" s="330" t="s">
        <v>312</v>
      </c>
    </row>
    <row r="12" spans="2:20" ht="71">
      <c r="B12" s="94">
        <f>SUM(B11+0.1)</f>
        <v>8.1999999999999993</v>
      </c>
      <c r="C12" s="114" t="s">
        <v>53</v>
      </c>
      <c r="D12" s="241" t="s">
        <v>78</v>
      </c>
      <c r="E12" s="234" t="s">
        <v>79</v>
      </c>
      <c r="F12" s="236" t="s">
        <v>197</v>
      </c>
      <c r="G12" s="165">
        <v>6.5</v>
      </c>
      <c r="H12" s="165"/>
      <c r="I12" s="165"/>
      <c r="J12" s="15"/>
      <c r="K12" s="15"/>
      <c r="L12" s="15"/>
      <c r="M12" s="15"/>
      <c r="N12" s="19">
        <f>0.406+2.763+1.138+0.406</f>
        <v>4.7130000000000001</v>
      </c>
      <c r="O12" s="19">
        <f>1.79+0.244</f>
        <v>2.0339999999999998</v>
      </c>
      <c r="P12" s="19">
        <f>0.65+1.788+0.41</f>
        <v>2.8480000000000003</v>
      </c>
      <c r="Q12" s="19">
        <f t="shared" ref="Q12:Q14" si="0">I12+SUM(N12:P12)</f>
        <v>9.5950000000000006</v>
      </c>
      <c r="R12" s="19">
        <f t="shared" ref="R12:R14" si="1">G12-SUM(N12:P12)</f>
        <v>-3.0950000000000006</v>
      </c>
      <c r="S12" s="208" t="s">
        <v>193</v>
      </c>
      <c r="T12" s="330" t="s">
        <v>312</v>
      </c>
    </row>
    <row r="13" spans="2:20" ht="71">
      <c r="B13" s="94">
        <f>SUM(B12+0.1)</f>
        <v>8.2999999999999989</v>
      </c>
      <c r="C13" s="114" t="s">
        <v>54</v>
      </c>
      <c r="D13" s="241" t="s">
        <v>78</v>
      </c>
      <c r="E13" s="234" t="s">
        <v>13</v>
      </c>
      <c r="F13" s="236" t="s">
        <v>197</v>
      </c>
      <c r="G13" s="165">
        <f>12*0.325</f>
        <v>3.9000000000000004</v>
      </c>
      <c r="H13" s="165"/>
      <c r="I13" s="165"/>
      <c r="J13" s="15"/>
      <c r="K13" s="15"/>
      <c r="L13" s="15"/>
      <c r="M13" s="15"/>
      <c r="N13" s="19">
        <f>0.325+0.325+0.325+0.325+0.325</f>
        <v>1.625</v>
      </c>
      <c r="O13" s="19">
        <f>0.325+0.325+0.325</f>
        <v>0.97500000000000009</v>
      </c>
      <c r="P13" s="19">
        <f>0.325+0.325+0.325+0.325</f>
        <v>1.3</v>
      </c>
      <c r="Q13" s="19">
        <f t="shared" si="0"/>
        <v>3.9000000000000004</v>
      </c>
      <c r="R13" s="19">
        <f>G13-O13</f>
        <v>2.9250000000000003</v>
      </c>
      <c r="S13" s="275" t="s">
        <v>194</v>
      </c>
      <c r="T13" s="330" t="s">
        <v>312</v>
      </c>
    </row>
    <row r="14" spans="2:20" ht="16">
      <c r="B14" s="94">
        <v>8.4</v>
      </c>
      <c r="C14" s="223" t="s">
        <v>94</v>
      </c>
      <c r="D14" s="218" t="s">
        <v>78</v>
      </c>
      <c r="E14" s="224"/>
      <c r="F14" s="168"/>
      <c r="G14" s="165">
        <v>0.5</v>
      </c>
      <c r="H14" s="227"/>
      <c r="I14" s="227"/>
      <c r="J14" s="19"/>
      <c r="K14" s="19"/>
      <c r="L14" s="19"/>
      <c r="M14" s="19"/>
      <c r="N14" s="19"/>
      <c r="O14" s="19"/>
      <c r="P14" s="19"/>
      <c r="Q14" s="19">
        <f t="shared" si="0"/>
        <v>0</v>
      </c>
      <c r="R14" s="19">
        <f t="shared" si="1"/>
        <v>0.5</v>
      </c>
      <c r="S14" s="35"/>
      <c r="T14" s="35"/>
    </row>
    <row r="16" spans="2:20" ht="16">
      <c r="S16" s="324" t="s">
        <v>291</v>
      </c>
      <c r="T16">
        <v>0</v>
      </c>
    </row>
    <row r="17" spans="19:20" ht="16">
      <c r="S17" s="324" t="s">
        <v>292</v>
      </c>
      <c r="T17">
        <v>0</v>
      </c>
    </row>
    <row r="18" spans="19:20" ht="16">
      <c r="S18" s="324" t="s">
        <v>293</v>
      </c>
      <c r="T18">
        <v>14.8</v>
      </c>
    </row>
  </sheetData>
  <mergeCells count="3">
    <mergeCell ref="B7:C9"/>
    <mergeCell ref="J7:M7"/>
    <mergeCell ref="N7:R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Forecast </vt:lpstr>
      <vt:lpstr>5-year figures</vt:lpstr>
      <vt:lpstr>Income B'down</vt:lpstr>
      <vt:lpstr>PSWG Exp</vt:lpstr>
      <vt:lpstr>IWG Exp</vt:lpstr>
      <vt:lpstr>EPWG Exp</vt:lpstr>
      <vt:lpstr>FARWG Exp</vt:lpstr>
      <vt:lpstr>PIWG Exp</vt:lpstr>
      <vt:lpstr>Gov Exp</vt:lpstr>
      <vt:lpstr>'Forecast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x</dc:creator>
  <cp:keywords/>
  <dc:description/>
  <cp:lastModifiedBy>Nikki Barker</cp:lastModifiedBy>
  <cp:lastPrinted>2019-01-18T10:59:09Z</cp:lastPrinted>
  <dcterms:created xsi:type="dcterms:W3CDTF">2009-02-03T19:26:38Z</dcterms:created>
  <dcterms:modified xsi:type="dcterms:W3CDTF">2021-02-22T14:17:25Z</dcterms:modified>
  <cp:category/>
</cp:coreProperties>
</file>